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PCS\Dropbox\Shared\_Budget Analyzer\"/>
    </mc:Choice>
  </mc:AlternateContent>
  <xr:revisionPtr revIDLastSave="0" documentId="13_ncr:1_{361EC065-39C3-404D-9ECA-FB89B725D36C}" xr6:coauthVersionLast="47" xr6:coauthVersionMax="47" xr10:uidLastSave="{00000000-0000-0000-0000-000000000000}"/>
  <bookViews>
    <workbookView xWindow="-120" yWindow="-120" windowWidth="29040" windowHeight="17790" tabRatio="688" xr2:uid="{00000000-000D-0000-FFFF-FFFF00000000}"/>
  </bookViews>
  <sheets>
    <sheet name="Home" sheetId="53" r:id="rId1"/>
    <sheet name="Data" sheetId="31" r:id="rId2"/>
    <sheet name="RateVol" sheetId="13" r:id="rId3"/>
    <sheet name="LnBal" sheetId="12" r:id="rId4"/>
    <sheet name="RelBal" sheetId="39" r:id="rId5"/>
    <sheet name="RSBal" sheetId="40" r:id="rId6"/>
    <sheet name="LnPct" sheetId="54" r:id="rId7"/>
    <sheet name="RelPct" sheetId="55" r:id="rId8"/>
    <sheet name="NIINIE" sheetId="57" r:id="rId9"/>
    <sheet name="LnYld" sheetId="34" r:id="rId10"/>
    <sheet name="SFYld" sheetId="35" r:id="rId11"/>
    <sheet name="RelCost" sheetId="36" r:id="rId12"/>
    <sheet name="RSCost" sheetId="37" r:id="rId13"/>
    <sheet name="NIM" sheetId="38" r:id="rId14"/>
    <sheet name="NII" sheetId="41" r:id="rId15"/>
    <sheet name="NIE" sheetId="42" r:id="rId16"/>
    <sheet name="Effic" sheetId="47" r:id="rId17"/>
    <sheet name="EOS" sheetId="48" r:id="rId18"/>
    <sheet name="NCO" sheetId="44" r:id="rId19"/>
    <sheet name="PLLExp" sheetId="43" r:id="rId20"/>
    <sheet name="LLRPct" sheetId="45" r:id="rId21"/>
    <sheet name="TSR" sheetId="52" r:id="rId22"/>
    <sheet name="EqAssets" sheetId="51" r:id="rId23"/>
    <sheet name="NetInc" sheetId="49" r:id="rId24"/>
    <sheet name="ROA" sheetId="50" r:id="rId25"/>
    <sheet name="RateVolData" sheetId="11" state="hidden" r:id="rId26"/>
  </sheets>
  <definedNames>
    <definedName name="BeginDate">Data!$E$6</definedName>
    <definedName name="ChartMax" localSheetId="16">Effic!$E$87</definedName>
    <definedName name="ChartMax" localSheetId="17">EOS!$E$87</definedName>
    <definedName name="ChartMax" localSheetId="22">EqAssets!$E$87</definedName>
    <definedName name="ChartMax" localSheetId="20">LLRPct!$E$87</definedName>
    <definedName name="ChartMax" localSheetId="3">LnBal!$E$87</definedName>
    <definedName name="ChartMax" localSheetId="6">LnPct!$E$87</definedName>
    <definedName name="ChartMax" localSheetId="9">LnYld!$E$87</definedName>
    <definedName name="ChartMax" localSheetId="18">NCO!$E$87</definedName>
    <definedName name="ChartMax" localSheetId="23">NetInc!$E$87</definedName>
    <definedName name="ChartMax" localSheetId="15">NIE!$E$87</definedName>
    <definedName name="ChartMax" localSheetId="14">NII!$E$87</definedName>
    <definedName name="ChartMax" localSheetId="8">NIINIE!$E$87</definedName>
    <definedName name="ChartMax" localSheetId="13">NIM!$E$87</definedName>
    <definedName name="ChartMax" localSheetId="19">PLLExp!$E$87</definedName>
    <definedName name="ChartMax" localSheetId="4">RelBal!$E$87</definedName>
    <definedName name="ChartMax" localSheetId="11">RelCost!$E$87</definedName>
    <definedName name="ChartMax" localSheetId="7">RelPct!$E$87</definedName>
    <definedName name="ChartMax" localSheetId="24">ROA!$E$87</definedName>
    <definedName name="ChartMax" localSheetId="5">RSBal!$E$87</definedName>
    <definedName name="ChartMax" localSheetId="12">RSCost!$E$87</definedName>
    <definedName name="ChartMax" localSheetId="10">SFYld!$E$87</definedName>
    <definedName name="ChartMax" localSheetId="21">TSR!$E$87</definedName>
    <definedName name="ChartMin" localSheetId="16">Effic!$E$86</definedName>
    <definedName name="ChartMin" localSheetId="17">EOS!$E$86</definedName>
    <definedName name="ChartMin" localSheetId="22">EqAssets!$E$86</definedName>
    <definedName name="ChartMin" localSheetId="20">LLRPct!$E$86</definedName>
    <definedName name="ChartMin" localSheetId="3">LnBal!$E$86</definedName>
    <definedName name="ChartMin" localSheetId="6">LnPct!$E$86</definedName>
    <definedName name="ChartMin" localSheetId="9">LnYld!$E$86</definedName>
    <definedName name="ChartMin" localSheetId="18">NCO!$E$86</definedName>
    <definedName name="ChartMin" localSheetId="23">NetInc!$E$86</definedName>
    <definedName name="ChartMin" localSheetId="15">NIE!$E$86</definedName>
    <definedName name="ChartMin" localSheetId="14">NII!$E$86</definedName>
    <definedName name="ChartMin" localSheetId="8">NIINIE!$E$86</definedName>
    <definedName name="ChartMin" localSheetId="13">NIM!$E$86</definedName>
    <definedName name="ChartMin" localSheetId="19">PLLExp!$E$86</definedName>
    <definedName name="ChartMin" localSheetId="4">RelBal!$E$86</definedName>
    <definedName name="ChartMin" localSheetId="11">RelCost!$E$86</definedName>
    <definedName name="ChartMin" localSheetId="7">RelPct!$E$86</definedName>
    <definedName name="ChartMin" localSheetId="24">ROA!$E$86</definedName>
    <definedName name="ChartMin" localSheetId="5">RSBal!$E$86</definedName>
    <definedName name="ChartMin" localSheetId="12">RSCost!$E$86</definedName>
    <definedName name="ChartMin" localSheetId="10">SFYld!$E$86</definedName>
    <definedName name="ChartMin" localSheetId="21">TSR!$E$86</definedName>
    <definedName name="DataID" localSheetId="16">Effic!$B$72</definedName>
    <definedName name="DataID" localSheetId="17">EOS!$B$72</definedName>
    <definedName name="DataID" localSheetId="22">EqAssets!$B$72</definedName>
    <definedName name="DataID" localSheetId="20">LLRPct!$B$72</definedName>
    <definedName name="DataID" localSheetId="3">LnBal!$B$72</definedName>
    <definedName name="DataID" localSheetId="6">LnPct!$B$72</definedName>
    <definedName name="DataID" localSheetId="9">LnYld!$B$72</definedName>
    <definedName name="DataID" localSheetId="18">NCO!$B$72</definedName>
    <definedName name="DataID" localSheetId="23">NetInc!$B$72</definedName>
    <definedName name="DataID" localSheetId="15">NIE!$B$72</definedName>
    <definedName name="DataID" localSheetId="14">NII!$B$72</definedName>
    <definedName name="DataID" localSheetId="8">NIINIE!$B$72</definedName>
    <definedName name="DataID" localSheetId="13">NIM!$B$72</definedName>
    <definedName name="DataID" localSheetId="19">PLLExp!$B$72</definedName>
    <definedName name="DataID" localSheetId="4">RelBal!$B$72</definedName>
    <definedName name="DataID" localSheetId="11">RelCost!$B$72</definedName>
    <definedName name="DataID" localSheetId="7">RelPct!$B$72</definedName>
    <definedName name="DataID" localSheetId="24">ROA!$B$72</definedName>
    <definedName name="DataID" localSheetId="5">RSBal!$B$72</definedName>
    <definedName name="DataID" localSheetId="12">RSCost!$B$72</definedName>
    <definedName name="DataID" localSheetId="10">SFYld!$B$72</definedName>
    <definedName name="DataID" localSheetId="21">TSR!$B$72</definedName>
    <definedName name="DataRange">Data!$B$2:$AZ$102</definedName>
    <definedName name="DetailRows" localSheetId="2">RateVol!$6:$8,RateVol!$12:$31</definedName>
    <definedName name="_xlnm.Print_Area" localSheetId="1">Data!$C$4:$AD$38</definedName>
    <definedName name="_xlnm.Print_Area" localSheetId="16">Effic!$B$3:$N$41</definedName>
    <definedName name="_xlnm.Print_Area" localSheetId="17">EOS!$B$3:$N$41</definedName>
    <definedName name="_xlnm.Print_Area" localSheetId="22">EqAssets!$B$3:$N$41</definedName>
    <definedName name="_xlnm.Print_Area" localSheetId="20">LLRPct!$B$3:$N$41</definedName>
    <definedName name="_xlnm.Print_Area" localSheetId="3">LnBal!$B$3:$N$41</definedName>
    <definedName name="_xlnm.Print_Area" localSheetId="6">LnPct!$B$3:$N$41</definedName>
    <definedName name="_xlnm.Print_Area" localSheetId="9">LnYld!$B$3:$N$41</definedName>
    <definedName name="_xlnm.Print_Area" localSheetId="18">NCO!$B$3:$N$41</definedName>
    <definedName name="_xlnm.Print_Area" localSheetId="23">NetInc!$B$3:$N$41</definedName>
    <definedName name="_xlnm.Print_Area" localSheetId="15">NIE!$B$3:$N$41</definedName>
    <definedName name="_xlnm.Print_Area" localSheetId="14">NII!$B$3:$N$41</definedName>
    <definedName name="_xlnm.Print_Area" localSheetId="8">NIINIE!$B$3:$N$41</definedName>
    <definedName name="_xlnm.Print_Area" localSheetId="13">NIM!$B$3:$N$41</definedName>
    <definedName name="_xlnm.Print_Area" localSheetId="19">PLLExp!$B$3:$N$41</definedName>
    <definedName name="_xlnm.Print_Area" localSheetId="2">RateVol!$C$3:$J$46</definedName>
    <definedName name="_xlnm.Print_Area" localSheetId="25">RateVolData!$B$2:$R$30</definedName>
    <definedName name="_xlnm.Print_Area" localSheetId="4">RelBal!$B$3:$N$41</definedName>
    <definedName name="_xlnm.Print_Area" localSheetId="11">RelCost!$B$3:$N$41</definedName>
    <definedName name="_xlnm.Print_Area" localSheetId="7">RelPct!$B$3:$N$41</definedName>
    <definedName name="_xlnm.Print_Area" localSheetId="24">ROA!$B$3:$N$41</definedName>
    <definedName name="_xlnm.Print_Area" localSheetId="5">RSBal!$B$3:$N$41</definedName>
    <definedName name="_xlnm.Print_Area" localSheetId="12">RSCost!$B$3:$N$41</definedName>
    <definedName name="_xlnm.Print_Area" localSheetId="10">SFYld!$B$3:$N$41</definedName>
    <definedName name="_xlnm.Print_Area" localSheetId="21">TSR!$B$3:$N$41</definedName>
    <definedName name="_xlnm.Print_Titles" localSheetId="1">Data!$C:$C</definedName>
    <definedName name="_xlnm.Print_Titles" localSheetId="2">RateVol!$3:$4</definedName>
    <definedName name="ShowAvg" localSheetId="16">Effic!$B$83</definedName>
    <definedName name="ShowAvg" localSheetId="17">EOS!$B$83</definedName>
    <definedName name="ShowAvg" localSheetId="22">EqAssets!$B$83</definedName>
    <definedName name="ShowAvg" localSheetId="20">LLRPct!$B$83</definedName>
    <definedName name="ShowAvg" localSheetId="3">LnBal!$B$83</definedName>
    <definedName name="ShowAvg" localSheetId="6">LnPct!$B$83</definedName>
    <definedName name="ShowAvg" localSheetId="9">LnYld!$B$83</definedName>
    <definedName name="ShowAvg" localSheetId="18">NCO!$B$83</definedName>
    <definedName name="ShowAvg" localSheetId="23">NetInc!$B$83</definedName>
    <definedName name="ShowAvg" localSheetId="15">NIE!$B$83</definedName>
    <definedName name="ShowAvg" localSheetId="14">NII!$B$83</definedName>
    <definedName name="ShowAvg" localSheetId="8">NIINIE!$B$83</definedName>
    <definedName name="ShowAvg" localSheetId="13">NIM!$B$83</definedName>
    <definedName name="ShowAvg" localSheetId="19">PLLExp!$B$83</definedName>
    <definedName name="ShowAvg" localSheetId="2">LnBal!$B$83</definedName>
    <definedName name="ShowAvg" localSheetId="4">RelBal!$B$83</definedName>
    <definedName name="ShowAvg" localSheetId="11">RelCost!$B$83</definedName>
    <definedName name="ShowAvg" localSheetId="7">RelPct!$B$83</definedName>
    <definedName name="ShowAvg" localSheetId="24">ROA!$B$83</definedName>
    <definedName name="ShowAvg" localSheetId="5">RSBal!$B$83</definedName>
    <definedName name="ShowAvg" localSheetId="12">RSCost!$B$83</definedName>
    <definedName name="ShowAvg" localSheetId="10">SFYld!$B$83</definedName>
    <definedName name="ShowAvg" localSheetId="21">TSR!$B$83</definedName>
    <definedName name="ShowDetail" localSheetId="2">RateVol!$M$5</definedName>
    <definedName name="ShowEnd" localSheetId="16">Effic!$B$84</definedName>
    <definedName name="ShowEnd" localSheetId="17">EOS!$B$84</definedName>
    <definedName name="ShowEnd" localSheetId="22">EqAssets!$B$84</definedName>
    <definedName name="ShowEnd" localSheetId="20">LLRPct!$B$84</definedName>
    <definedName name="ShowEnd" localSheetId="3">LnBal!$B$84</definedName>
    <definedName name="ShowEnd" localSheetId="6">LnPct!$B$84</definedName>
    <definedName name="ShowEnd" localSheetId="9">LnYld!$B$84</definedName>
    <definedName name="ShowEnd" localSheetId="18">NCO!$B$84</definedName>
    <definedName name="ShowEnd" localSheetId="23">NetInc!$B$84</definedName>
    <definedName name="ShowEnd" localSheetId="15">NIE!$B$84</definedName>
    <definedName name="ShowEnd" localSheetId="14">NII!$B$84</definedName>
    <definedName name="ShowEnd" localSheetId="8">NIINIE!$B$84</definedName>
    <definedName name="ShowEnd" localSheetId="13">NIM!$B$84</definedName>
    <definedName name="ShowEnd" localSheetId="19">PLLExp!$B$84</definedName>
    <definedName name="ShowEnd" localSheetId="4">RelBal!$B$84</definedName>
    <definedName name="ShowEnd" localSheetId="11">RelCost!$B$84</definedName>
    <definedName name="ShowEnd" localSheetId="7">RelPct!$B$84</definedName>
    <definedName name="ShowEnd" localSheetId="24">ROA!$B$84</definedName>
    <definedName name="ShowEnd" localSheetId="5">RSBal!$B$84</definedName>
    <definedName name="ShowEnd" localSheetId="12">RSCost!$B$84</definedName>
    <definedName name="ShowEnd" localSheetId="10">SFYld!$B$84</definedName>
    <definedName name="ShowEnd" localSheetId="21">TSR!$B$84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4" i="31" l="1"/>
  <c r="AC54" i="31"/>
  <c r="AB54" i="31"/>
  <c r="AA54" i="31"/>
  <c r="Z54" i="31"/>
  <c r="Y54" i="31"/>
  <c r="X54" i="31"/>
  <c r="W54" i="31"/>
  <c r="V54" i="31"/>
  <c r="U54" i="31"/>
  <c r="T54" i="31"/>
  <c r="S54" i="31"/>
  <c r="G54" i="31"/>
  <c r="H54" i="31"/>
  <c r="I54" i="31"/>
  <c r="J54" i="31"/>
  <c r="K54" i="31"/>
  <c r="L54" i="31"/>
  <c r="M54" i="31"/>
  <c r="N54" i="31"/>
  <c r="O54" i="31"/>
  <c r="P54" i="31"/>
  <c r="Q54" i="31"/>
  <c r="F54" i="31"/>
  <c r="D9" i="11" l="1"/>
  <c r="D10" i="11"/>
  <c r="D11" i="11"/>
  <c r="D8" i="11"/>
  <c r="C9" i="11"/>
  <c r="C10" i="11"/>
  <c r="C11" i="11"/>
  <c r="C8" i="11"/>
  <c r="D4" i="11"/>
  <c r="D5" i="11"/>
  <c r="D6" i="11"/>
  <c r="D3" i="11"/>
  <c r="C4" i="11"/>
  <c r="C5" i="11"/>
  <c r="C6" i="11"/>
  <c r="C3" i="11"/>
  <c r="AG17" i="31"/>
  <c r="AG16" i="31"/>
  <c r="AG15" i="31"/>
  <c r="AG14" i="31"/>
  <c r="AG11" i="31"/>
  <c r="AG10" i="31"/>
  <c r="AG9" i="31"/>
  <c r="AG8" i="31"/>
  <c r="AF15" i="31"/>
  <c r="AF16" i="31"/>
  <c r="AF17" i="31"/>
  <c r="AF14" i="31"/>
  <c r="AF9" i="31"/>
  <c r="AF10" i="31"/>
  <c r="AF11" i="31"/>
  <c r="AF8" i="31"/>
  <c r="T50" i="31"/>
  <c r="U50" i="31"/>
  <c r="V50" i="31"/>
  <c r="W50" i="31"/>
  <c r="X50" i="31"/>
  <c r="Y50" i="31"/>
  <c r="Z50" i="31"/>
  <c r="AA50" i="31"/>
  <c r="AB50" i="31"/>
  <c r="AC50" i="31"/>
  <c r="AD50" i="31"/>
  <c r="S50" i="31"/>
  <c r="G50" i="31"/>
  <c r="H50" i="31"/>
  <c r="I50" i="31"/>
  <c r="J50" i="31"/>
  <c r="K50" i="31"/>
  <c r="L50" i="31"/>
  <c r="M50" i="31"/>
  <c r="N50" i="31"/>
  <c r="O50" i="31"/>
  <c r="P50" i="31"/>
  <c r="Q50" i="31"/>
  <c r="F50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G49" i="31"/>
  <c r="H49" i="31"/>
  <c r="I49" i="31"/>
  <c r="J49" i="31"/>
  <c r="K49" i="31"/>
  <c r="L49" i="31"/>
  <c r="M49" i="31"/>
  <c r="N49" i="31"/>
  <c r="O49" i="31"/>
  <c r="P49" i="31"/>
  <c r="Q49" i="31"/>
  <c r="F49" i="31"/>
  <c r="AG22" i="31"/>
  <c r="AF22" i="31"/>
  <c r="AG23" i="31"/>
  <c r="AF23" i="31"/>
  <c r="AG24" i="31"/>
  <c r="AF24" i="31"/>
  <c r="AG25" i="31"/>
  <c r="AF25" i="31"/>
  <c r="AF32" i="31"/>
  <c r="C27" i="11" s="1"/>
  <c r="AF31" i="31"/>
  <c r="C26" i="11" s="1"/>
  <c r="AF29" i="31"/>
  <c r="C24" i="11" s="1"/>
  <c r="AF28" i="31"/>
  <c r="C20" i="11" s="1"/>
  <c r="D14" i="11" l="1"/>
  <c r="D16" i="11"/>
  <c r="AF58" i="31"/>
  <c r="AF54" i="31"/>
  <c r="C16" i="11"/>
  <c r="C15" i="11"/>
  <c r="C14" i="11"/>
  <c r="C13" i="11"/>
  <c r="AH22" i="31"/>
  <c r="Q4" i="11"/>
  <c r="D15" i="11"/>
  <c r="Q5" i="11"/>
  <c r="Q11" i="11"/>
  <c r="Q10" i="11"/>
  <c r="Q9" i="11"/>
  <c r="Q8" i="11"/>
  <c r="Q3" i="11"/>
  <c r="Q6" i="11"/>
  <c r="D13" i="11"/>
  <c r="AH25" i="31"/>
  <c r="AH24" i="31"/>
  <c r="AH23" i="31"/>
  <c r="D34" i="57"/>
  <c r="D33" i="57"/>
  <c r="B78" i="57"/>
  <c r="B81" i="57" s="1"/>
  <c r="C72" i="57"/>
  <c r="D72" i="57" s="1"/>
  <c r="E72" i="57" s="1"/>
  <c r="F72" i="57" s="1"/>
  <c r="G72" i="57" s="1"/>
  <c r="H72" i="57" s="1"/>
  <c r="I72" i="57" s="1"/>
  <c r="J72" i="57" s="1"/>
  <c r="K72" i="57" s="1"/>
  <c r="L72" i="57" s="1"/>
  <c r="M72" i="57" s="1"/>
  <c r="N72" i="57" s="1"/>
  <c r="O72" i="57" s="1"/>
  <c r="P72" i="57" s="1"/>
  <c r="Q72" i="57" s="1"/>
  <c r="R72" i="57" s="1"/>
  <c r="S72" i="57" s="1"/>
  <c r="T72" i="57" s="1"/>
  <c r="U72" i="57" s="1"/>
  <c r="V72" i="57" s="1"/>
  <c r="W72" i="57" s="1"/>
  <c r="X72" i="57" s="1"/>
  <c r="Y72" i="57" s="1"/>
  <c r="Z72" i="57" s="1"/>
  <c r="D32" i="57"/>
  <c r="B78" i="55"/>
  <c r="B81" i="55" s="1"/>
  <c r="C72" i="55"/>
  <c r="D72" i="55" s="1"/>
  <c r="E72" i="55" s="1"/>
  <c r="F72" i="55" s="1"/>
  <c r="G72" i="55" s="1"/>
  <c r="H72" i="55" s="1"/>
  <c r="I72" i="55" s="1"/>
  <c r="J72" i="55" s="1"/>
  <c r="K72" i="55" s="1"/>
  <c r="L72" i="55" s="1"/>
  <c r="M72" i="55" s="1"/>
  <c r="N72" i="55" s="1"/>
  <c r="O72" i="55" s="1"/>
  <c r="P72" i="55" s="1"/>
  <c r="Q72" i="55" s="1"/>
  <c r="R72" i="55" s="1"/>
  <c r="S72" i="55" s="1"/>
  <c r="T72" i="55" s="1"/>
  <c r="U72" i="55" s="1"/>
  <c r="V72" i="55" s="1"/>
  <c r="W72" i="55" s="1"/>
  <c r="X72" i="55" s="1"/>
  <c r="Y72" i="55" s="1"/>
  <c r="Z72" i="55" s="1"/>
  <c r="D32" i="55"/>
  <c r="B78" i="54"/>
  <c r="B81" i="54" s="1"/>
  <c r="C72" i="54"/>
  <c r="D72" i="54" s="1"/>
  <c r="E72" i="54" s="1"/>
  <c r="F72" i="54" s="1"/>
  <c r="G72" i="54" s="1"/>
  <c r="H72" i="54" s="1"/>
  <c r="I72" i="54" s="1"/>
  <c r="J72" i="54" s="1"/>
  <c r="K72" i="54" s="1"/>
  <c r="L72" i="54" s="1"/>
  <c r="M72" i="54" s="1"/>
  <c r="N72" i="54" s="1"/>
  <c r="O72" i="54" s="1"/>
  <c r="P72" i="54" s="1"/>
  <c r="Q72" i="54" s="1"/>
  <c r="R72" i="54" s="1"/>
  <c r="S72" i="54" s="1"/>
  <c r="T72" i="54" s="1"/>
  <c r="U72" i="54" s="1"/>
  <c r="V72" i="54" s="1"/>
  <c r="W72" i="54" s="1"/>
  <c r="X72" i="54" s="1"/>
  <c r="Y72" i="54" s="1"/>
  <c r="Z72" i="54" s="1"/>
  <c r="D32" i="54"/>
  <c r="B78" i="52"/>
  <c r="B81" i="52" s="1"/>
  <c r="C72" i="52"/>
  <c r="D72" i="52" s="1"/>
  <c r="E72" i="52" s="1"/>
  <c r="F72" i="52" s="1"/>
  <c r="G72" i="52" s="1"/>
  <c r="H72" i="52" s="1"/>
  <c r="I72" i="52" s="1"/>
  <c r="J72" i="52" s="1"/>
  <c r="K72" i="52" s="1"/>
  <c r="L72" i="52" s="1"/>
  <c r="M72" i="52" s="1"/>
  <c r="N72" i="52" s="1"/>
  <c r="O72" i="52" s="1"/>
  <c r="P72" i="52" s="1"/>
  <c r="Q72" i="52" s="1"/>
  <c r="R72" i="52" s="1"/>
  <c r="S72" i="52" s="1"/>
  <c r="T72" i="52" s="1"/>
  <c r="U72" i="52" s="1"/>
  <c r="V72" i="52" s="1"/>
  <c r="W72" i="52" s="1"/>
  <c r="X72" i="52" s="1"/>
  <c r="Y72" i="52" s="1"/>
  <c r="Z72" i="52" s="1"/>
  <c r="D32" i="52"/>
  <c r="B78" i="51"/>
  <c r="B81" i="51" s="1"/>
  <c r="C72" i="51"/>
  <c r="D72" i="51" s="1"/>
  <c r="E72" i="51" s="1"/>
  <c r="F72" i="51" s="1"/>
  <c r="G72" i="51" s="1"/>
  <c r="H72" i="51" s="1"/>
  <c r="I72" i="51" s="1"/>
  <c r="J72" i="51" s="1"/>
  <c r="K72" i="51" s="1"/>
  <c r="L72" i="51" s="1"/>
  <c r="M72" i="51" s="1"/>
  <c r="N72" i="51" s="1"/>
  <c r="O72" i="51" s="1"/>
  <c r="P72" i="51" s="1"/>
  <c r="Q72" i="51" s="1"/>
  <c r="R72" i="51" s="1"/>
  <c r="S72" i="51" s="1"/>
  <c r="T72" i="51" s="1"/>
  <c r="U72" i="51" s="1"/>
  <c r="V72" i="51" s="1"/>
  <c r="W72" i="51" s="1"/>
  <c r="X72" i="51" s="1"/>
  <c r="Y72" i="51" s="1"/>
  <c r="Z72" i="51" s="1"/>
  <c r="D32" i="51"/>
  <c r="D32" i="47"/>
  <c r="D33" i="47"/>
  <c r="B78" i="50"/>
  <c r="B81" i="50" s="1"/>
  <c r="C72" i="50"/>
  <c r="D72" i="50" s="1"/>
  <c r="E72" i="50" s="1"/>
  <c r="F72" i="50" s="1"/>
  <c r="G72" i="50" s="1"/>
  <c r="H72" i="50" s="1"/>
  <c r="I72" i="50" s="1"/>
  <c r="J72" i="50" s="1"/>
  <c r="K72" i="50" s="1"/>
  <c r="L72" i="50" s="1"/>
  <c r="M72" i="50" s="1"/>
  <c r="N72" i="50" s="1"/>
  <c r="O72" i="50" s="1"/>
  <c r="P72" i="50" s="1"/>
  <c r="Q72" i="50" s="1"/>
  <c r="R72" i="50" s="1"/>
  <c r="S72" i="50" s="1"/>
  <c r="T72" i="50" s="1"/>
  <c r="U72" i="50" s="1"/>
  <c r="V72" i="50" s="1"/>
  <c r="W72" i="50" s="1"/>
  <c r="X72" i="50" s="1"/>
  <c r="Y72" i="50" s="1"/>
  <c r="Z72" i="50" s="1"/>
  <c r="B78" i="49"/>
  <c r="D34" i="49" s="1"/>
  <c r="C72" i="49"/>
  <c r="D72" i="49" s="1"/>
  <c r="E72" i="49" s="1"/>
  <c r="F72" i="49" s="1"/>
  <c r="G72" i="49" s="1"/>
  <c r="H72" i="49" s="1"/>
  <c r="I72" i="49" s="1"/>
  <c r="J72" i="49" s="1"/>
  <c r="K72" i="49" s="1"/>
  <c r="L72" i="49" s="1"/>
  <c r="M72" i="49" s="1"/>
  <c r="N72" i="49" s="1"/>
  <c r="O72" i="49" s="1"/>
  <c r="P72" i="49" s="1"/>
  <c r="Q72" i="49" s="1"/>
  <c r="R72" i="49" s="1"/>
  <c r="S72" i="49" s="1"/>
  <c r="T72" i="49" s="1"/>
  <c r="U72" i="49" s="1"/>
  <c r="V72" i="49" s="1"/>
  <c r="W72" i="49" s="1"/>
  <c r="X72" i="49" s="1"/>
  <c r="Y72" i="49" s="1"/>
  <c r="Z72" i="49" s="1"/>
  <c r="D33" i="48"/>
  <c r="D32" i="48"/>
  <c r="B78" i="48"/>
  <c r="B81" i="48" s="1"/>
  <c r="C72" i="48"/>
  <c r="D72" i="48" s="1"/>
  <c r="E72" i="48" s="1"/>
  <c r="F72" i="48" s="1"/>
  <c r="G72" i="48" s="1"/>
  <c r="H72" i="48" s="1"/>
  <c r="I72" i="48" s="1"/>
  <c r="J72" i="48" s="1"/>
  <c r="K72" i="48" s="1"/>
  <c r="L72" i="48" s="1"/>
  <c r="M72" i="48" s="1"/>
  <c r="N72" i="48" s="1"/>
  <c r="O72" i="48" s="1"/>
  <c r="P72" i="48" s="1"/>
  <c r="Q72" i="48" s="1"/>
  <c r="R72" i="48" s="1"/>
  <c r="S72" i="48" s="1"/>
  <c r="T72" i="48" s="1"/>
  <c r="U72" i="48" s="1"/>
  <c r="V72" i="48" s="1"/>
  <c r="W72" i="48" s="1"/>
  <c r="X72" i="48" s="1"/>
  <c r="Y72" i="48" s="1"/>
  <c r="Z72" i="48" s="1"/>
  <c r="B78" i="47"/>
  <c r="B81" i="47" s="1"/>
  <c r="C72" i="47"/>
  <c r="D72" i="47" s="1"/>
  <c r="E72" i="47" s="1"/>
  <c r="F72" i="47" s="1"/>
  <c r="G72" i="47" s="1"/>
  <c r="H72" i="47" s="1"/>
  <c r="I72" i="47" s="1"/>
  <c r="J72" i="47" s="1"/>
  <c r="K72" i="47" s="1"/>
  <c r="L72" i="47" s="1"/>
  <c r="M72" i="47" s="1"/>
  <c r="N72" i="47" s="1"/>
  <c r="O72" i="47" s="1"/>
  <c r="P72" i="47" s="1"/>
  <c r="Q72" i="47" s="1"/>
  <c r="R72" i="47" s="1"/>
  <c r="S72" i="47" s="1"/>
  <c r="T72" i="47" s="1"/>
  <c r="U72" i="47" s="1"/>
  <c r="V72" i="47" s="1"/>
  <c r="W72" i="47" s="1"/>
  <c r="X72" i="47" s="1"/>
  <c r="Y72" i="47" s="1"/>
  <c r="Z72" i="47" s="1"/>
  <c r="Z74" i="52"/>
  <c r="Y74" i="52"/>
  <c r="X74" i="52"/>
  <c r="W74" i="52"/>
  <c r="V74" i="52"/>
  <c r="U74" i="52"/>
  <c r="T74" i="52"/>
  <c r="S74" i="52"/>
  <c r="R74" i="52"/>
  <c r="Q74" i="52"/>
  <c r="P74" i="52"/>
  <c r="D73" i="52"/>
  <c r="E73" i="52"/>
  <c r="F73" i="52"/>
  <c r="G73" i="52"/>
  <c r="H73" i="52"/>
  <c r="I73" i="52"/>
  <c r="J73" i="52"/>
  <c r="K73" i="52"/>
  <c r="L73" i="52"/>
  <c r="M73" i="52"/>
  <c r="N73" i="52"/>
  <c r="C73" i="52"/>
  <c r="P74" i="48"/>
  <c r="Q74" i="48"/>
  <c r="R74" i="48"/>
  <c r="S74" i="48"/>
  <c r="T74" i="48"/>
  <c r="U74" i="48"/>
  <c r="V74" i="48"/>
  <c r="W74" i="48"/>
  <c r="X74" i="48"/>
  <c r="Y74" i="48"/>
  <c r="Z74" i="48"/>
  <c r="O74" i="48"/>
  <c r="D73" i="48"/>
  <c r="E73" i="48"/>
  <c r="F73" i="48"/>
  <c r="G73" i="48"/>
  <c r="H73" i="48"/>
  <c r="I73" i="48"/>
  <c r="J73" i="48"/>
  <c r="K73" i="48"/>
  <c r="L73" i="48"/>
  <c r="M73" i="48"/>
  <c r="N73" i="48"/>
  <c r="C73" i="48"/>
  <c r="T58" i="31"/>
  <c r="P74" i="57" s="1"/>
  <c r="U58" i="31"/>
  <c r="Q74" i="57" s="1"/>
  <c r="V58" i="31"/>
  <c r="R74" i="57" s="1"/>
  <c r="W58" i="31"/>
  <c r="S74" i="57" s="1"/>
  <c r="X58" i="31"/>
  <c r="T74" i="57" s="1"/>
  <c r="Y58" i="31"/>
  <c r="U74" i="57" s="1"/>
  <c r="Z58" i="31"/>
  <c r="V74" i="57" s="1"/>
  <c r="AA58" i="31"/>
  <c r="W74" i="57" s="1"/>
  <c r="AB58" i="31"/>
  <c r="X74" i="57" s="1"/>
  <c r="AC58" i="31"/>
  <c r="Y74" i="57" s="1"/>
  <c r="AD58" i="31"/>
  <c r="Z74" i="57" s="1"/>
  <c r="S58" i="31"/>
  <c r="G58" i="31"/>
  <c r="D73" i="57" s="1"/>
  <c r="H58" i="31"/>
  <c r="E73" i="57" s="1"/>
  <c r="I58" i="31"/>
  <c r="F73" i="57" s="1"/>
  <c r="J58" i="31"/>
  <c r="G73" i="57" s="1"/>
  <c r="K58" i="31"/>
  <c r="H73" i="57" s="1"/>
  <c r="L58" i="31"/>
  <c r="I73" i="57" s="1"/>
  <c r="M58" i="31"/>
  <c r="J73" i="57" s="1"/>
  <c r="N58" i="31"/>
  <c r="K73" i="57" s="1"/>
  <c r="O58" i="31"/>
  <c r="L73" i="57" s="1"/>
  <c r="P58" i="31"/>
  <c r="M73" i="57" s="1"/>
  <c r="Q58" i="31"/>
  <c r="N73" i="57" s="1"/>
  <c r="F58" i="31"/>
  <c r="C73" i="57" s="1"/>
  <c r="Y74" i="45"/>
  <c r="U74" i="45"/>
  <c r="T74" i="45"/>
  <c r="S74" i="45"/>
  <c r="R74" i="45"/>
  <c r="Q74" i="45"/>
  <c r="P74" i="45"/>
  <c r="O74" i="45"/>
  <c r="C73" i="45"/>
  <c r="D73" i="45"/>
  <c r="G73" i="45"/>
  <c r="H73" i="45"/>
  <c r="I73" i="45"/>
  <c r="J73" i="45"/>
  <c r="K73" i="45"/>
  <c r="L73" i="45"/>
  <c r="M73" i="45"/>
  <c r="N73" i="45"/>
  <c r="B78" i="45"/>
  <c r="B81" i="45" s="1"/>
  <c r="Z74" i="45"/>
  <c r="X74" i="45"/>
  <c r="W74" i="45"/>
  <c r="V74" i="45"/>
  <c r="F73" i="45"/>
  <c r="E73" i="45"/>
  <c r="C72" i="45"/>
  <c r="D72" i="45" s="1"/>
  <c r="E72" i="45" s="1"/>
  <c r="F72" i="45" s="1"/>
  <c r="G72" i="45" s="1"/>
  <c r="H72" i="45" s="1"/>
  <c r="I72" i="45" s="1"/>
  <c r="J72" i="45" s="1"/>
  <c r="K72" i="45" s="1"/>
  <c r="L72" i="45" s="1"/>
  <c r="M72" i="45" s="1"/>
  <c r="N72" i="45" s="1"/>
  <c r="O72" i="45" s="1"/>
  <c r="P72" i="45" s="1"/>
  <c r="Q72" i="45" s="1"/>
  <c r="R72" i="45" s="1"/>
  <c r="S72" i="45" s="1"/>
  <c r="T72" i="45" s="1"/>
  <c r="U72" i="45" s="1"/>
  <c r="V72" i="45" s="1"/>
  <c r="W72" i="45" s="1"/>
  <c r="X72" i="45" s="1"/>
  <c r="Y72" i="45" s="1"/>
  <c r="Z72" i="45" s="1"/>
  <c r="D32" i="45"/>
  <c r="B78" i="44"/>
  <c r="D34" i="44" s="1"/>
  <c r="Z74" i="44"/>
  <c r="Y74" i="44"/>
  <c r="X74" i="44"/>
  <c r="W74" i="44"/>
  <c r="V74" i="44"/>
  <c r="U74" i="44"/>
  <c r="T74" i="44"/>
  <c r="S74" i="44"/>
  <c r="R74" i="44"/>
  <c r="Q74" i="44"/>
  <c r="P74" i="44"/>
  <c r="O74" i="44"/>
  <c r="N73" i="44"/>
  <c r="M73" i="44"/>
  <c r="L73" i="44"/>
  <c r="K73" i="44"/>
  <c r="J73" i="44"/>
  <c r="I73" i="44"/>
  <c r="H73" i="44"/>
  <c r="G73" i="44"/>
  <c r="F73" i="44"/>
  <c r="E73" i="44"/>
  <c r="D73" i="44"/>
  <c r="C73" i="44"/>
  <c r="C72" i="44"/>
  <c r="D72" i="44" s="1"/>
  <c r="E72" i="44" s="1"/>
  <c r="F72" i="44" s="1"/>
  <c r="G72" i="44" s="1"/>
  <c r="H72" i="44" s="1"/>
  <c r="I72" i="44" s="1"/>
  <c r="J72" i="44" s="1"/>
  <c r="K72" i="44" s="1"/>
  <c r="L72" i="44" s="1"/>
  <c r="M72" i="44" s="1"/>
  <c r="N72" i="44" s="1"/>
  <c r="O72" i="44" s="1"/>
  <c r="P72" i="44" s="1"/>
  <c r="Q72" i="44" s="1"/>
  <c r="R72" i="44" s="1"/>
  <c r="S72" i="44" s="1"/>
  <c r="T72" i="44" s="1"/>
  <c r="U72" i="44" s="1"/>
  <c r="V72" i="44" s="1"/>
  <c r="W72" i="44" s="1"/>
  <c r="X72" i="44" s="1"/>
  <c r="Y72" i="44" s="1"/>
  <c r="Z72" i="44" s="1"/>
  <c r="J32" i="44"/>
  <c r="K32" i="44" s="1"/>
  <c r="AG32" i="31"/>
  <c r="D27" i="11" s="1"/>
  <c r="C75" i="43"/>
  <c r="D75" i="43" s="1"/>
  <c r="E75" i="43" s="1"/>
  <c r="F75" i="43" s="1"/>
  <c r="G75" i="43" s="1"/>
  <c r="H75" i="43" s="1"/>
  <c r="I75" i="43" s="1"/>
  <c r="J75" i="43" s="1"/>
  <c r="K75" i="43" s="1"/>
  <c r="L75" i="43" s="1"/>
  <c r="M75" i="43" s="1"/>
  <c r="N75" i="43" s="1"/>
  <c r="AG31" i="31"/>
  <c r="D26" i="11" s="1"/>
  <c r="C75" i="44"/>
  <c r="D75" i="44" s="1"/>
  <c r="E75" i="44" s="1"/>
  <c r="F75" i="44" s="1"/>
  <c r="G75" i="44" s="1"/>
  <c r="H75" i="44" s="1"/>
  <c r="I75" i="44" s="1"/>
  <c r="J75" i="44" s="1"/>
  <c r="K75" i="44" s="1"/>
  <c r="L75" i="44" s="1"/>
  <c r="M75" i="44" s="1"/>
  <c r="N75" i="44" s="1"/>
  <c r="B78" i="43"/>
  <c r="B81" i="43" s="1"/>
  <c r="Z74" i="43"/>
  <c r="Y74" i="43"/>
  <c r="X74" i="43"/>
  <c r="W74" i="43"/>
  <c r="V74" i="43"/>
  <c r="U74" i="43"/>
  <c r="T74" i="43"/>
  <c r="S74" i="43"/>
  <c r="R74" i="43"/>
  <c r="Q74" i="43"/>
  <c r="P74" i="43"/>
  <c r="O74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C72" i="43"/>
  <c r="D72" i="43" s="1"/>
  <c r="E72" i="43" s="1"/>
  <c r="F72" i="43" s="1"/>
  <c r="G72" i="43" s="1"/>
  <c r="H72" i="43" s="1"/>
  <c r="I72" i="43" s="1"/>
  <c r="J72" i="43" s="1"/>
  <c r="K72" i="43" s="1"/>
  <c r="L72" i="43" s="1"/>
  <c r="M72" i="43" s="1"/>
  <c r="N72" i="43" s="1"/>
  <c r="O72" i="43" s="1"/>
  <c r="P72" i="43" s="1"/>
  <c r="Q72" i="43" s="1"/>
  <c r="R72" i="43" s="1"/>
  <c r="S72" i="43" s="1"/>
  <c r="T72" i="43" s="1"/>
  <c r="U72" i="43" s="1"/>
  <c r="V72" i="43" s="1"/>
  <c r="W72" i="43" s="1"/>
  <c r="X72" i="43" s="1"/>
  <c r="Y72" i="43" s="1"/>
  <c r="Z72" i="43" s="1"/>
  <c r="B78" i="42"/>
  <c r="B81" i="42" s="1"/>
  <c r="Z74" i="42"/>
  <c r="Y74" i="42"/>
  <c r="X74" i="42"/>
  <c r="W74" i="42"/>
  <c r="V74" i="42"/>
  <c r="U74" i="42"/>
  <c r="T74" i="42"/>
  <c r="S74" i="42"/>
  <c r="R74" i="42"/>
  <c r="Q74" i="42"/>
  <c r="P74" i="42"/>
  <c r="O74" i="42"/>
  <c r="N73" i="42"/>
  <c r="M73" i="42"/>
  <c r="L73" i="42"/>
  <c r="K73" i="42"/>
  <c r="J73" i="42"/>
  <c r="I73" i="42"/>
  <c r="H73" i="42"/>
  <c r="G73" i="42"/>
  <c r="F73" i="42"/>
  <c r="E73" i="42"/>
  <c r="D73" i="42"/>
  <c r="C73" i="42"/>
  <c r="C72" i="42"/>
  <c r="D72" i="42" s="1"/>
  <c r="E72" i="42" s="1"/>
  <c r="F72" i="42" s="1"/>
  <c r="G72" i="42" s="1"/>
  <c r="H72" i="42" s="1"/>
  <c r="I72" i="42" s="1"/>
  <c r="J72" i="42" s="1"/>
  <c r="K72" i="42" s="1"/>
  <c r="L72" i="42" s="1"/>
  <c r="M72" i="42" s="1"/>
  <c r="N72" i="42" s="1"/>
  <c r="O72" i="42" s="1"/>
  <c r="P72" i="42" s="1"/>
  <c r="Q72" i="42" s="1"/>
  <c r="R72" i="42" s="1"/>
  <c r="S72" i="42" s="1"/>
  <c r="T72" i="42" s="1"/>
  <c r="U72" i="42" s="1"/>
  <c r="V72" i="42" s="1"/>
  <c r="W72" i="42" s="1"/>
  <c r="X72" i="42" s="1"/>
  <c r="Y72" i="42" s="1"/>
  <c r="Z72" i="42" s="1"/>
  <c r="AG29" i="31"/>
  <c r="D24" i="11" s="1"/>
  <c r="J32" i="42"/>
  <c r="AG28" i="31"/>
  <c r="J32" i="41"/>
  <c r="B78" i="41"/>
  <c r="B81" i="41" s="1"/>
  <c r="Z74" i="41"/>
  <c r="Y74" i="41"/>
  <c r="X74" i="41"/>
  <c r="W74" i="41"/>
  <c r="V74" i="41"/>
  <c r="U74" i="41"/>
  <c r="T74" i="41"/>
  <c r="S74" i="41"/>
  <c r="R74" i="41"/>
  <c r="Q74" i="41"/>
  <c r="P74" i="41"/>
  <c r="O74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C72" i="41"/>
  <c r="D72" i="41" s="1"/>
  <c r="E72" i="41" s="1"/>
  <c r="F72" i="41" s="1"/>
  <c r="G72" i="41" s="1"/>
  <c r="H72" i="41" s="1"/>
  <c r="I72" i="41" s="1"/>
  <c r="J72" i="41" s="1"/>
  <c r="K72" i="41" s="1"/>
  <c r="L72" i="41" s="1"/>
  <c r="M72" i="41" s="1"/>
  <c r="N72" i="41" s="1"/>
  <c r="O72" i="41" s="1"/>
  <c r="P72" i="41" s="1"/>
  <c r="Q72" i="41" s="1"/>
  <c r="R72" i="41" s="1"/>
  <c r="S72" i="41" s="1"/>
  <c r="T72" i="41" s="1"/>
  <c r="U72" i="41" s="1"/>
  <c r="V72" i="41" s="1"/>
  <c r="W72" i="41" s="1"/>
  <c r="X72" i="41" s="1"/>
  <c r="Y72" i="41" s="1"/>
  <c r="Z72" i="41" s="1"/>
  <c r="B78" i="40"/>
  <c r="B81" i="40" s="1"/>
  <c r="AA74" i="40"/>
  <c r="Z74" i="40"/>
  <c r="Y74" i="40"/>
  <c r="X74" i="40"/>
  <c r="W74" i="40"/>
  <c r="V74" i="40"/>
  <c r="U74" i="40"/>
  <c r="T74" i="40"/>
  <c r="S74" i="40"/>
  <c r="R74" i="40"/>
  <c r="Q74" i="40"/>
  <c r="P74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C72" i="40"/>
  <c r="D72" i="40" s="1"/>
  <c r="E72" i="40" s="1"/>
  <c r="F72" i="40" s="1"/>
  <c r="G72" i="40" s="1"/>
  <c r="H72" i="40" s="1"/>
  <c r="I72" i="40" s="1"/>
  <c r="J72" i="40" s="1"/>
  <c r="K72" i="40" s="1"/>
  <c r="L72" i="40" s="1"/>
  <c r="M72" i="40" s="1"/>
  <c r="N72" i="40" s="1"/>
  <c r="O72" i="40" s="1"/>
  <c r="P72" i="40" s="1"/>
  <c r="Q72" i="40" s="1"/>
  <c r="R72" i="40" s="1"/>
  <c r="S72" i="40" s="1"/>
  <c r="T72" i="40" s="1"/>
  <c r="U72" i="40" s="1"/>
  <c r="V72" i="40" s="1"/>
  <c r="W72" i="40" s="1"/>
  <c r="X72" i="40" s="1"/>
  <c r="Y72" i="40" s="1"/>
  <c r="Z72" i="40" s="1"/>
  <c r="AA72" i="40" s="1"/>
  <c r="J32" i="40"/>
  <c r="D32" i="40"/>
  <c r="B78" i="39"/>
  <c r="B81" i="39" s="1"/>
  <c r="AA74" i="39"/>
  <c r="Z74" i="39"/>
  <c r="Y74" i="39"/>
  <c r="X74" i="39"/>
  <c r="W74" i="39"/>
  <c r="V74" i="39"/>
  <c r="U74" i="39"/>
  <c r="T74" i="39"/>
  <c r="S74" i="39"/>
  <c r="R74" i="39"/>
  <c r="Q74" i="39"/>
  <c r="P74" i="39"/>
  <c r="O73" i="39"/>
  <c r="N73" i="39"/>
  <c r="M73" i="39"/>
  <c r="L73" i="39"/>
  <c r="K73" i="39"/>
  <c r="J73" i="39"/>
  <c r="I73" i="39"/>
  <c r="H73" i="39"/>
  <c r="G73" i="39"/>
  <c r="F73" i="39"/>
  <c r="E73" i="39"/>
  <c r="D73" i="39"/>
  <c r="C73" i="39"/>
  <c r="C72" i="39"/>
  <c r="D72" i="39" s="1"/>
  <c r="E72" i="39" s="1"/>
  <c r="F72" i="39" s="1"/>
  <c r="G72" i="39" s="1"/>
  <c r="H72" i="39" s="1"/>
  <c r="I72" i="39" s="1"/>
  <c r="J72" i="39" s="1"/>
  <c r="K72" i="39" s="1"/>
  <c r="L72" i="39" s="1"/>
  <c r="M72" i="39" s="1"/>
  <c r="N72" i="39" s="1"/>
  <c r="O72" i="39" s="1"/>
  <c r="P72" i="39" s="1"/>
  <c r="Q72" i="39" s="1"/>
  <c r="R72" i="39" s="1"/>
  <c r="S72" i="39" s="1"/>
  <c r="T72" i="39" s="1"/>
  <c r="U72" i="39" s="1"/>
  <c r="V72" i="39" s="1"/>
  <c r="W72" i="39" s="1"/>
  <c r="X72" i="39" s="1"/>
  <c r="Y72" i="39" s="1"/>
  <c r="Z72" i="39" s="1"/>
  <c r="AA72" i="39" s="1"/>
  <c r="J32" i="39"/>
  <c r="D32" i="39"/>
  <c r="J32" i="12"/>
  <c r="D32" i="12"/>
  <c r="D34" i="38"/>
  <c r="D33" i="38"/>
  <c r="B78" i="38"/>
  <c r="B81" i="38" s="1"/>
  <c r="C72" i="38"/>
  <c r="D72" i="38" s="1"/>
  <c r="E72" i="38" s="1"/>
  <c r="F72" i="38" s="1"/>
  <c r="G72" i="38" s="1"/>
  <c r="H72" i="38" s="1"/>
  <c r="I72" i="38" s="1"/>
  <c r="J72" i="38" s="1"/>
  <c r="K72" i="38" s="1"/>
  <c r="L72" i="38" s="1"/>
  <c r="M72" i="38" s="1"/>
  <c r="N72" i="38" s="1"/>
  <c r="O72" i="38" s="1"/>
  <c r="P72" i="38" s="1"/>
  <c r="Q72" i="38" s="1"/>
  <c r="R72" i="38" s="1"/>
  <c r="S72" i="38" s="1"/>
  <c r="T72" i="38" s="1"/>
  <c r="U72" i="38" s="1"/>
  <c r="V72" i="38" s="1"/>
  <c r="W72" i="38" s="1"/>
  <c r="X72" i="38" s="1"/>
  <c r="Y72" i="38" s="1"/>
  <c r="Z72" i="38" s="1"/>
  <c r="D32" i="38"/>
  <c r="B78" i="37"/>
  <c r="B81" i="37" s="1"/>
  <c r="C72" i="37"/>
  <c r="D72" i="37" s="1"/>
  <c r="E72" i="37" s="1"/>
  <c r="F72" i="37" s="1"/>
  <c r="G72" i="37" s="1"/>
  <c r="H72" i="37" s="1"/>
  <c r="I72" i="37" s="1"/>
  <c r="J72" i="37" s="1"/>
  <c r="K72" i="37" s="1"/>
  <c r="L72" i="37" s="1"/>
  <c r="M72" i="37" s="1"/>
  <c r="N72" i="37" s="1"/>
  <c r="O72" i="37" s="1"/>
  <c r="P72" i="37" s="1"/>
  <c r="Q72" i="37" s="1"/>
  <c r="R72" i="37" s="1"/>
  <c r="S72" i="37" s="1"/>
  <c r="T72" i="37" s="1"/>
  <c r="U72" i="37" s="1"/>
  <c r="V72" i="37" s="1"/>
  <c r="W72" i="37" s="1"/>
  <c r="X72" i="37" s="1"/>
  <c r="Y72" i="37" s="1"/>
  <c r="Z72" i="37" s="1"/>
  <c r="D34" i="37"/>
  <c r="D33" i="37"/>
  <c r="D32" i="37"/>
  <c r="D34" i="36"/>
  <c r="D33" i="36"/>
  <c r="B78" i="36"/>
  <c r="B81" i="36" s="1"/>
  <c r="C72" i="36"/>
  <c r="D72" i="36" s="1"/>
  <c r="E72" i="36" s="1"/>
  <c r="F72" i="36" s="1"/>
  <c r="G72" i="36" s="1"/>
  <c r="H72" i="36" s="1"/>
  <c r="I72" i="36" s="1"/>
  <c r="J72" i="36" s="1"/>
  <c r="K72" i="36" s="1"/>
  <c r="L72" i="36" s="1"/>
  <c r="M72" i="36" s="1"/>
  <c r="N72" i="36" s="1"/>
  <c r="O72" i="36" s="1"/>
  <c r="P72" i="36" s="1"/>
  <c r="Q72" i="36" s="1"/>
  <c r="R72" i="36" s="1"/>
  <c r="S72" i="36" s="1"/>
  <c r="T72" i="36" s="1"/>
  <c r="U72" i="36" s="1"/>
  <c r="V72" i="36" s="1"/>
  <c r="W72" i="36" s="1"/>
  <c r="X72" i="36" s="1"/>
  <c r="Y72" i="36" s="1"/>
  <c r="Z72" i="36" s="1"/>
  <c r="D32" i="36"/>
  <c r="B78" i="35"/>
  <c r="B81" i="35" s="1"/>
  <c r="C72" i="35"/>
  <c r="D72" i="35" s="1"/>
  <c r="E72" i="35" s="1"/>
  <c r="F72" i="35" s="1"/>
  <c r="G72" i="35" s="1"/>
  <c r="H72" i="35" s="1"/>
  <c r="I72" i="35" s="1"/>
  <c r="J72" i="35" s="1"/>
  <c r="K72" i="35" s="1"/>
  <c r="L72" i="35" s="1"/>
  <c r="M72" i="35" s="1"/>
  <c r="N72" i="35" s="1"/>
  <c r="O72" i="35" s="1"/>
  <c r="P72" i="35" s="1"/>
  <c r="Q72" i="35" s="1"/>
  <c r="R72" i="35" s="1"/>
  <c r="S72" i="35" s="1"/>
  <c r="T72" i="35" s="1"/>
  <c r="U72" i="35" s="1"/>
  <c r="V72" i="35" s="1"/>
  <c r="W72" i="35" s="1"/>
  <c r="X72" i="35" s="1"/>
  <c r="Y72" i="35" s="1"/>
  <c r="Z72" i="35" s="1"/>
  <c r="D34" i="35"/>
  <c r="D33" i="35"/>
  <c r="D32" i="35"/>
  <c r="D32" i="34"/>
  <c r="D34" i="34"/>
  <c r="D33" i="34"/>
  <c r="C72" i="34"/>
  <c r="D72" i="34" s="1"/>
  <c r="E72" i="34" s="1"/>
  <c r="F72" i="34" s="1"/>
  <c r="G72" i="34" s="1"/>
  <c r="H72" i="34" s="1"/>
  <c r="I72" i="34" s="1"/>
  <c r="J72" i="34" s="1"/>
  <c r="K72" i="34" s="1"/>
  <c r="L72" i="34" s="1"/>
  <c r="M72" i="34" s="1"/>
  <c r="N72" i="34" s="1"/>
  <c r="O72" i="34" s="1"/>
  <c r="P72" i="34" s="1"/>
  <c r="Q72" i="34" s="1"/>
  <c r="R72" i="34" s="1"/>
  <c r="S72" i="34" s="1"/>
  <c r="T72" i="34" s="1"/>
  <c r="U72" i="34" s="1"/>
  <c r="V72" i="34" s="1"/>
  <c r="W72" i="34" s="1"/>
  <c r="X72" i="34" s="1"/>
  <c r="Y72" i="34" s="1"/>
  <c r="Z72" i="34" s="1"/>
  <c r="B78" i="34"/>
  <c r="B81" i="34" s="1"/>
  <c r="AJ17" i="31"/>
  <c r="AK17" i="31" s="1"/>
  <c r="AJ16" i="31"/>
  <c r="AK16" i="31" s="1"/>
  <c r="AJ15" i="31"/>
  <c r="C75" i="40"/>
  <c r="D75" i="40" s="1"/>
  <c r="E75" i="40" s="1"/>
  <c r="F75" i="40" s="1"/>
  <c r="G75" i="40" s="1"/>
  <c r="H75" i="40" s="1"/>
  <c r="I75" i="40" s="1"/>
  <c r="J75" i="40" s="1"/>
  <c r="K75" i="40" s="1"/>
  <c r="L75" i="40" s="1"/>
  <c r="M75" i="40" s="1"/>
  <c r="N75" i="40" s="1"/>
  <c r="O75" i="40" s="1"/>
  <c r="AJ14" i="31"/>
  <c r="P76" i="39"/>
  <c r="Q76" i="39" s="1"/>
  <c r="R76" i="39" s="1"/>
  <c r="S76" i="39" s="1"/>
  <c r="T76" i="39" s="1"/>
  <c r="U76" i="39" s="1"/>
  <c r="V76" i="39" s="1"/>
  <c r="W76" i="39" s="1"/>
  <c r="X76" i="39" s="1"/>
  <c r="Y76" i="39" s="1"/>
  <c r="Z76" i="39" s="1"/>
  <c r="AA76" i="39" s="1"/>
  <c r="C75" i="39"/>
  <c r="D75" i="39" s="1"/>
  <c r="E75" i="39" s="1"/>
  <c r="F75" i="39" s="1"/>
  <c r="G75" i="39" s="1"/>
  <c r="H75" i="39" s="1"/>
  <c r="I75" i="39" s="1"/>
  <c r="J75" i="39" s="1"/>
  <c r="K75" i="39" s="1"/>
  <c r="L75" i="39" s="1"/>
  <c r="M75" i="39" s="1"/>
  <c r="N75" i="39" s="1"/>
  <c r="O75" i="39" s="1"/>
  <c r="AJ11" i="31"/>
  <c r="AK11" i="31" s="1"/>
  <c r="AH11" i="31"/>
  <c r="AI11" i="31" s="1"/>
  <c r="AJ10" i="31"/>
  <c r="AK10" i="31" s="1"/>
  <c r="AJ9" i="31"/>
  <c r="AK9" i="31" s="1"/>
  <c r="AG58" i="31" l="1"/>
  <c r="O76" i="57" s="1"/>
  <c r="P76" i="57" s="1"/>
  <c r="Q76" i="57" s="1"/>
  <c r="R76" i="57" s="1"/>
  <c r="S76" i="57" s="1"/>
  <c r="T76" i="57" s="1"/>
  <c r="U76" i="57" s="1"/>
  <c r="V76" i="57" s="1"/>
  <c r="W76" i="57" s="1"/>
  <c r="X76" i="57" s="1"/>
  <c r="Y76" i="57" s="1"/>
  <c r="Z76" i="57" s="1"/>
  <c r="O76" i="44"/>
  <c r="P76" i="44" s="1"/>
  <c r="Q76" i="44" s="1"/>
  <c r="R76" i="44" s="1"/>
  <c r="S76" i="44" s="1"/>
  <c r="T76" i="44" s="1"/>
  <c r="U76" i="44" s="1"/>
  <c r="V76" i="44" s="1"/>
  <c r="W76" i="44" s="1"/>
  <c r="X76" i="44" s="1"/>
  <c r="Y76" i="44" s="1"/>
  <c r="Z76" i="44" s="1"/>
  <c r="AG54" i="31"/>
  <c r="AK15" i="31"/>
  <c r="I33" i="40" s="1"/>
  <c r="AK14" i="31"/>
  <c r="I33" i="39" s="1"/>
  <c r="J33" i="41"/>
  <c r="D20" i="11"/>
  <c r="O76" i="42"/>
  <c r="P76" i="42" s="1"/>
  <c r="Q76" i="42" s="1"/>
  <c r="R76" i="42" s="1"/>
  <c r="S76" i="42" s="1"/>
  <c r="T76" i="42" s="1"/>
  <c r="U76" i="42" s="1"/>
  <c r="V76" i="42" s="1"/>
  <c r="W76" i="42" s="1"/>
  <c r="X76" i="42" s="1"/>
  <c r="Y76" i="42" s="1"/>
  <c r="Z76" i="42" s="1"/>
  <c r="J32" i="45"/>
  <c r="O76" i="41"/>
  <c r="P76" i="41" s="1"/>
  <c r="Q76" i="41" s="1"/>
  <c r="R76" i="41" s="1"/>
  <c r="S76" i="41" s="1"/>
  <c r="T76" i="41" s="1"/>
  <c r="U76" i="41" s="1"/>
  <c r="V76" i="41" s="1"/>
  <c r="W76" i="41" s="1"/>
  <c r="X76" i="41" s="1"/>
  <c r="Y76" i="41" s="1"/>
  <c r="Z76" i="41" s="1"/>
  <c r="AH17" i="31"/>
  <c r="AI17" i="31" s="1"/>
  <c r="C75" i="41"/>
  <c r="D75" i="41" s="1"/>
  <c r="E75" i="41" s="1"/>
  <c r="F75" i="41" s="1"/>
  <c r="G75" i="41" s="1"/>
  <c r="H75" i="41" s="1"/>
  <c r="I75" i="41" s="1"/>
  <c r="J75" i="41" s="1"/>
  <c r="K75" i="41" s="1"/>
  <c r="L75" i="41" s="1"/>
  <c r="M75" i="41" s="1"/>
  <c r="N75" i="41" s="1"/>
  <c r="AH31" i="31"/>
  <c r="J34" i="44" s="1"/>
  <c r="AH29" i="31"/>
  <c r="J34" i="42" s="1"/>
  <c r="I34" i="42" s="1"/>
  <c r="J33" i="42"/>
  <c r="AH15" i="31"/>
  <c r="AI15" i="31" s="1"/>
  <c r="P76" i="40"/>
  <c r="Q76" i="40" s="1"/>
  <c r="R76" i="40" s="1"/>
  <c r="S76" i="40" s="1"/>
  <c r="T76" i="40" s="1"/>
  <c r="U76" i="40" s="1"/>
  <c r="V76" i="40" s="1"/>
  <c r="W76" i="40" s="1"/>
  <c r="X76" i="40" s="1"/>
  <c r="Y76" i="40" s="1"/>
  <c r="Z76" i="40" s="1"/>
  <c r="AA76" i="40" s="1"/>
  <c r="AH9" i="31"/>
  <c r="AI9" i="31" s="1"/>
  <c r="J33" i="40"/>
  <c r="J32" i="52"/>
  <c r="O74" i="52"/>
  <c r="B87" i="52" s="1"/>
  <c r="E87" i="52" s="1"/>
  <c r="AH16" i="31"/>
  <c r="AI16" i="31" s="1"/>
  <c r="AH10" i="31"/>
  <c r="AI10" i="31" s="1"/>
  <c r="AH32" i="31"/>
  <c r="J34" i="43" s="1"/>
  <c r="O76" i="43"/>
  <c r="P76" i="43" s="1"/>
  <c r="Q76" i="43" s="1"/>
  <c r="R76" i="43" s="1"/>
  <c r="S76" i="43" s="1"/>
  <c r="T76" i="43" s="1"/>
  <c r="U76" i="43" s="1"/>
  <c r="V76" i="43" s="1"/>
  <c r="W76" i="43" s="1"/>
  <c r="X76" i="43" s="1"/>
  <c r="Y76" i="43" s="1"/>
  <c r="Z76" i="43" s="1"/>
  <c r="J32" i="43"/>
  <c r="K32" i="43" s="1"/>
  <c r="J33" i="43"/>
  <c r="K33" i="43" s="1"/>
  <c r="J33" i="44"/>
  <c r="K33" i="44" s="1"/>
  <c r="O74" i="57"/>
  <c r="J32" i="57"/>
  <c r="AH14" i="31"/>
  <c r="AI14" i="31" s="1"/>
  <c r="J33" i="39"/>
  <c r="C75" i="42"/>
  <c r="D75" i="42" s="1"/>
  <c r="E75" i="42" s="1"/>
  <c r="F75" i="42" s="1"/>
  <c r="G75" i="42" s="1"/>
  <c r="H75" i="42" s="1"/>
  <c r="I75" i="42" s="1"/>
  <c r="J75" i="42" s="1"/>
  <c r="K75" i="42" s="1"/>
  <c r="L75" i="42" s="1"/>
  <c r="M75" i="42" s="1"/>
  <c r="N75" i="42" s="1"/>
  <c r="D33" i="50"/>
  <c r="D32" i="50"/>
  <c r="D34" i="50"/>
  <c r="D32" i="49"/>
  <c r="B81" i="49"/>
  <c r="D33" i="49"/>
  <c r="D32" i="44"/>
  <c r="B87" i="45"/>
  <c r="E87" i="45" s="1"/>
  <c r="D32" i="42"/>
  <c r="B86" i="45"/>
  <c r="E86" i="45" s="1"/>
  <c r="D33" i="42"/>
  <c r="D34" i="42"/>
  <c r="B81" i="44"/>
  <c r="D33" i="44"/>
  <c r="D32" i="43"/>
  <c r="D33" i="43"/>
  <c r="D34" i="43"/>
  <c r="D32" i="41"/>
  <c r="D33" i="41"/>
  <c r="D34" i="41"/>
  <c r="AH28" i="31"/>
  <c r="J34" i="41" s="1"/>
  <c r="I34" i="41" s="1"/>
  <c r="B87" i="39"/>
  <c r="E87" i="39" s="1"/>
  <c r="B86" i="39"/>
  <c r="E86" i="39" s="1"/>
  <c r="AJ8" i="31"/>
  <c r="B78" i="12"/>
  <c r="B81" i="12" s="1"/>
  <c r="C72" i="12"/>
  <c r="Q74" i="12"/>
  <c r="R74" i="12"/>
  <c r="S74" i="12"/>
  <c r="T74" i="12"/>
  <c r="U74" i="12"/>
  <c r="V74" i="12"/>
  <c r="W74" i="12"/>
  <c r="X74" i="12"/>
  <c r="Y74" i="12"/>
  <c r="Z74" i="12"/>
  <c r="AA74" i="12"/>
  <c r="P74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C73" i="12"/>
  <c r="F12" i="31"/>
  <c r="G12" i="31"/>
  <c r="H12" i="31"/>
  <c r="I12" i="31"/>
  <c r="J12" i="31"/>
  <c r="K12" i="31"/>
  <c r="L12" i="31"/>
  <c r="M12" i="31"/>
  <c r="N12" i="31"/>
  <c r="O12" i="31"/>
  <c r="P12" i="31"/>
  <c r="Q12" i="31"/>
  <c r="Q51" i="31" s="1"/>
  <c r="S12" i="31"/>
  <c r="T12" i="31"/>
  <c r="T51" i="31" s="1"/>
  <c r="U12" i="31"/>
  <c r="U51" i="31" s="1"/>
  <c r="V12" i="31"/>
  <c r="V51" i="31" s="1"/>
  <c r="W12" i="31"/>
  <c r="W51" i="31" s="1"/>
  <c r="X12" i="31"/>
  <c r="X51" i="31" s="1"/>
  <c r="Y12" i="31"/>
  <c r="Y51" i="31" s="1"/>
  <c r="Z12" i="31"/>
  <c r="Z51" i="31" s="1"/>
  <c r="AA12" i="31"/>
  <c r="AA51" i="31" s="1"/>
  <c r="AB12" i="31"/>
  <c r="AB51" i="31" s="1"/>
  <c r="AC12" i="31"/>
  <c r="AC51" i="31" s="1"/>
  <c r="AD12" i="31"/>
  <c r="AD51" i="31" s="1"/>
  <c r="E12" i="31"/>
  <c r="H51" i="31" l="1"/>
  <c r="O51" i="31"/>
  <c r="N51" i="31"/>
  <c r="K73" i="51" s="1"/>
  <c r="M51" i="31"/>
  <c r="J73" i="51" s="1"/>
  <c r="L51" i="31"/>
  <c r="K51" i="31"/>
  <c r="J51" i="31"/>
  <c r="P51" i="31"/>
  <c r="M73" i="51" s="1"/>
  <c r="G51" i="31"/>
  <c r="I51" i="31"/>
  <c r="F73" i="51" s="1"/>
  <c r="J34" i="57"/>
  <c r="AH58" i="31"/>
  <c r="B86" i="44"/>
  <c r="E86" i="44" s="1"/>
  <c r="B87" i="44"/>
  <c r="E87" i="44" s="1"/>
  <c r="S51" i="31"/>
  <c r="B87" i="40"/>
  <c r="E87" i="40" s="1"/>
  <c r="I34" i="43"/>
  <c r="F51" i="31"/>
  <c r="J33" i="12"/>
  <c r="AK8" i="31"/>
  <c r="I33" i="12" s="1"/>
  <c r="I34" i="44"/>
  <c r="B86" i="43"/>
  <c r="E86" i="43" s="1"/>
  <c r="B87" i="43"/>
  <c r="E87" i="43" s="1"/>
  <c r="C75" i="12"/>
  <c r="B86" i="40"/>
  <c r="E86" i="40" s="1"/>
  <c r="B86" i="42"/>
  <c r="E86" i="42" s="1"/>
  <c r="B87" i="42"/>
  <c r="E87" i="42" s="1"/>
  <c r="B86" i="41"/>
  <c r="E86" i="41" s="1"/>
  <c r="B87" i="41"/>
  <c r="E87" i="41" s="1"/>
  <c r="J33" i="57"/>
  <c r="C75" i="57"/>
  <c r="X74" i="51"/>
  <c r="AB56" i="31"/>
  <c r="X74" i="54" s="1"/>
  <c r="AB57" i="31"/>
  <c r="X74" i="55" s="1"/>
  <c r="S56" i="31"/>
  <c r="S57" i="31"/>
  <c r="Z57" i="31"/>
  <c r="V74" i="55" s="1"/>
  <c r="V74" i="51"/>
  <c r="Z56" i="31"/>
  <c r="V74" i="54" s="1"/>
  <c r="Q57" i="31"/>
  <c r="N73" i="55" s="1"/>
  <c r="Q56" i="31"/>
  <c r="N73" i="54" s="1"/>
  <c r="N73" i="51"/>
  <c r="AG12" i="31"/>
  <c r="P76" i="12"/>
  <c r="U74" i="51"/>
  <c r="Y56" i="31"/>
  <c r="U74" i="54" s="1"/>
  <c r="Y57" i="31"/>
  <c r="U74" i="55" s="1"/>
  <c r="E73" i="51"/>
  <c r="H56" i="31"/>
  <c r="E73" i="54" s="1"/>
  <c r="H57" i="31"/>
  <c r="E73" i="55" s="1"/>
  <c r="L73" i="51"/>
  <c r="O57" i="31"/>
  <c r="L73" i="55" s="1"/>
  <c r="O56" i="31"/>
  <c r="L73" i="54" s="1"/>
  <c r="I34" i="39"/>
  <c r="J34" i="39"/>
  <c r="AF12" i="31"/>
  <c r="F57" i="31"/>
  <c r="C73" i="55" s="1"/>
  <c r="F56" i="31"/>
  <c r="C73" i="54" s="1"/>
  <c r="C73" i="51"/>
  <c r="AH8" i="31"/>
  <c r="AI8" i="31" s="1"/>
  <c r="W57" i="31"/>
  <c r="S74" i="55" s="1"/>
  <c r="W56" i="31"/>
  <c r="S74" i="54" s="1"/>
  <c r="S74" i="51"/>
  <c r="N56" i="31"/>
  <c r="K73" i="54" s="1"/>
  <c r="N57" i="31"/>
  <c r="K73" i="55" s="1"/>
  <c r="Z74" i="51"/>
  <c r="AD57" i="31"/>
  <c r="Z74" i="55" s="1"/>
  <c r="AD56" i="31"/>
  <c r="Z74" i="54" s="1"/>
  <c r="AJ12" i="31"/>
  <c r="AK12" i="31" s="1"/>
  <c r="B86" i="52"/>
  <c r="E86" i="52" s="1"/>
  <c r="T57" i="31"/>
  <c r="P74" i="55" s="1"/>
  <c r="P74" i="51"/>
  <c r="T56" i="31"/>
  <c r="P74" i="54" s="1"/>
  <c r="H73" i="51"/>
  <c r="K57" i="31"/>
  <c r="H73" i="55" s="1"/>
  <c r="K56" i="31"/>
  <c r="H73" i="54" s="1"/>
  <c r="J33" i="48"/>
  <c r="O76" i="48"/>
  <c r="P76" i="48" s="1"/>
  <c r="Q76" i="48" s="1"/>
  <c r="R76" i="48" s="1"/>
  <c r="S76" i="48" s="1"/>
  <c r="T76" i="48" s="1"/>
  <c r="U76" i="48" s="1"/>
  <c r="V76" i="48" s="1"/>
  <c r="W76" i="48" s="1"/>
  <c r="X76" i="48" s="1"/>
  <c r="Y76" i="48" s="1"/>
  <c r="Z76" i="48" s="1"/>
  <c r="AH54" i="31"/>
  <c r="J34" i="48" s="1"/>
  <c r="W74" i="51"/>
  <c r="AA56" i="31"/>
  <c r="W74" i="54" s="1"/>
  <c r="AA57" i="31"/>
  <c r="W74" i="55" s="1"/>
  <c r="J57" i="31"/>
  <c r="G73" i="55" s="1"/>
  <c r="J56" i="31"/>
  <c r="G73" i="54" s="1"/>
  <c r="G73" i="51"/>
  <c r="I57" i="31"/>
  <c r="F73" i="55" s="1"/>
  <c r="I56" i="31"/>
  <c r="F73" i="54" s="1"/>
  <c r="P57" i="31"/>
  <c r="M73" i="55" s="1"/>
  <c r="P56" i="31"/>
  <c r="M73" i="54" s="1"/>
  <c r="X57" i="31"/>
  <c r="T74" i="55" s="1"/>
  <c r="X56" i="31"/>
  <c r="T74" i="54" s="1"/>
  <c r="T74" i="51"/>
  <c r="G56" i="31"/>
  <c r="D73" i="54" s="1"/>
  <c r="G57" i="31"/>
  <c r="D73" i="55" s="1"/>
  <c r="D73" i="51"/>
  <c r="R74" i="51"/>
  <c r="V57" i="31"/>
  <c r="R74" i="55" s="1"/>
  <c r="V56" i="31"/>
  <c r="R74" i="54" s="1"/>
  <c r="M56" i="31"/>
  <c r="J73" i="54" s="1"/>
  <c r="M57" i="31"/>
  <c r="J73" i="55" s="1"/>
  <c r="AC56" i="31"/>
  <c r="Y74" i="54" s="1"/>
  <c r="AC57" i="31"/>
  <c r="Y74" i="55" s="1"/>
  <c r="Y74" i="51"/>
  <c r="Q74" i="51"/>
  <c r="U56" i="31"/>
  <c r="Q74" i="54" s="1"/>
  <c r="U57" i="31"/>
  <c r="Q74" i="55" s="1"/>
  <c r="L56" i="31"/>
  <c r="I73" i="54" s="1"/>
  <c r="L57" i="31"/>
  <c r="I73" i="55" s="1"/>
  <c r="I73" i="51"/>
  <c r="J32" i="48"/>
  <c r="C75" i="48"/>
  <c r="I34" i="40"/>
  <c r="J34" i="40"/>
  <c r="F26" i="31"/>
  <c r="F53" i="31" s="1"/>
  <c r="G26" i="31"/>
  <c r="H26" i="31"/>
  <c r="I26" i="31"/>
  <c r="J26" i="31"/>
  <c r="K26" i="31"/>
  <c r="L26" i="31"/>
  <c r="M26" i="31"/>
  <c r="N26" i="31"/>
  <c r="O26" i="31"/>
  <c r="P26" i="31"/>
  <c r="Q26" i="31"/>
  <c r="S26" i="31"/>
  <c r="S53" i="31" s="1"/>
  <c r="T26" i="31"/>
  <c r="U26" i="31"/>
  <c r="V26" i="31"/>
  <c r="W26" i="31"/>
  <c r="X26" i="31"/>
  <c r="Y26" i="31"/>
  <c r="Z26" i="31"/>
  <c r="AA26" i="31"/>
  <c r="AB26" i="31"/>
  <c r="AC26" i="31"/>
  <c r="AD26" i="31"/>
  <c r="F18" i="31"/>
  <c r="F20" i="31" s="1"/>
  <c r="G18" i="31"/>
  <c r="G20" i="31" s="1"/>
  <c r="H18" i="31"/>
  <c r="H20" i="31" s="1"/>
  <c r="I18" i="31"/>
  <c r="I20" i="31" s="1"/>
  <c r="J18" i="31"/>
  <c r="J20" i="31" s="1"/>
  <c r="K18" i="31"/>
  <c r="K20" i="31" s="1"/>
  <c r="L18" i="31"/>
  <c r="L20" i="31" s="1"/>
  <c r="M18" i="31"/>
  <c r="M20" i="31" s="1"/>
  <c r="N18" i="31"/>
  <c r="N20" i="31" s="1"/>
  <c r="O18" i="31"/>
  <c r="O20" i="31" s="1"/>
  <c r="P18" i="31"/>
  <c r="P20" i="31" s="1"/>
  <c r="Q18" i="31"/>
  <c r="Q20" i="31" s="1"/>
  <c r="S18" i="31"/>
  <c r="S20" i="31" s="1"/>
  <c r="T18" i="31"/>
  <c r="T20" i="31" s="1"/>
  <c r="U18" i="31"/>
  <c r="U20" i="31" s="1"/>
  <c r="V18" i="31"/>
  <c r="V20" i="31" s="1"/>
  <c r="W18" i="31"/>
  <c r="W20" i="31" s="1"/>
  <c r="X18" i="31"/>
  <c r="X20" i="31" s="1"/>
  <c r="Y18" i="31"/>
  <c r="Y20" i="31" s="1"/>
  <c r="Z18" i="31"/>
  <c r="Z20" i="31" s="1"/>
  <c r="AA18" i="31"/>
  <c r="AA20" i="31" s="1"/>
  <c r="AB18" i="31"/>
  <c r="AB20" i="31" s="1"/>
  <c r="AC18" i="31"/>
  <c r="AC20" i="31" s="1"/>
  <c r="AD18" i="31"/>
  <c r="AD20" i="31" s="1"/>
  <c r="E18" i="31"/>
  <c r="E20" i="31" s="1"/>
  <c r="F6" i="31"/>
  <c r="AC34" i="31" l="1"/>
  <c r="AC53" i="31"/>
  <c r="T34" i="31"/>
  <c r="T53" i="31"/>
  <c r="Z34" i="31"/>
  <c r="Z53" i="31"/>
  <c r="V74" i="47" s="1"/>
  <c r="AA34" i="31"/>
  <c r="AA53" i="31"/>
  <c r="W74" i="47" s="1"/>
  <c r="Y34" i="31"/>
  <c r="Y53" i="31"/>
  <c r="X34" i="31"/>
  <c r="X53" i="31"/>
  <c r="U34" i="31"/>
  <c r="U53" i="31"/>
  <c r="Q74" i="47" s="1"/>
  <c r="AB34" i="31"/>
  <c r="AB53" i="31"/>
  <c r="X74" i="47" s="1"/>
  <c r="W34" i="31"/>
  <c r="W53" i="31"/>
  <c r="AD34" i="31"/>
  <c r="AD53" i="31"/>
  <c r="V34" i="31"/>
  <c r="V53" i="31"/>
  <c r="O34" i="31"/>
  <c r="O53" i="31"/>
  <c r="G34" i="31"/>
  <c r="G53" i="31"/>
  <c r="D73" i="47" s="1"/>
  <c r="N34" i="31"/>
  <c r="N53" i="31"/>
  <c r="M34" i="31"/>
  <c r="M53" i="31"/>
  <c r="J73" i="47" s="1"/>
  <c r="L34" i="31"/>
  <c r="L53" i="31"/>
  <c r="H34" i="31"/>
  <c r="H53" i="31"/>
  <c r="E73" i="47" s="1"/>
  <c r="I34" i="31"/>
  <c r="I53" i="31"/>
  <c r="P34" i="31"/>
  <c r="P53" i="31"/>
  <c r="M73" i="47" s="1"/>
  <c r="K34" i="31"/>
  <c r="K53" i="31"/>
  <c r="J34" i="31"/>
  <c r="J53" i="31"/>
  <c r="Q34" i="31"/>
  <c r="Q53" i="31"/>
  <c r="S34" i="31"/>
  <c r="R74" i="47"/>
  <c r="Z74" i="47"/>
  <c r="U74" i="47"/>
  <c r="S74" i="47"/>
  <c r="O74" i="47"/>
  <c r="T74" i="47"/>
  <c r="P74" i="47"/>
  <c r="Y74" i="47"/>
  <c r="K73" i="47"/>
  <c r="C73" i="47"/>
  <c r="L73" i="47"/>
  <c r="F73" i="47"/>
  <c r="N73" i="47"/>
  <c r="K34" i="44"/>
  <c r="K34" i="43"/>
  <c r="AF26" i="31"/>
  <c r="F34" i="31"/>
  <c r="D75" i="57"/>
  <c r="E75" i="57" s="1"/>
  <c r="F75" i="57" s="1"/>
  <c r="G75" i="57" s="1"/>
  <c r="H75" i="57" s="1"/>
  <c r="I75" i="57" s="1"/>
  <c r="J75" i="57" s="1"/>
  <c r="K75" i="57" s="1"/>
  <c r="L75" i="57" s="1"/>
  <c r="M75" i="57" s="1"/>
  <c r="N75" i="57" s="1"/>
  <c r="AD38" i="31"/>
  <c r="AD60" i="31"/>
  <c r="M38" i="31"/>
  <c r="M60" i="31"/>
  <c r="AC38" i="31"/>
  <c r="AC60" i="31"/>
  <c r="U38" i="31"/>
  <c r="U60" i="31"/>
  <c r="L38" i="31"/>
  <c r="L60" i="31"/>
  <c r="AB38" i="31"/>
  <c r="AB60" i="31"/>
  <c r="T38" i="31"/>
  <c r="T60" i="31"/>
  <c r="K38" i="31"/>
  <c r="K60" i="31"/>
  <c r="O74" i="55"/>
  <c r="B87" i="55" s="1"/>
  <c r="E87" i="55" s="1"/>
  <c r="J32" i="55"/>
  <c r="Z38" i="31"/>
  <c r="Z60" i="31"/>
  <c r="Q38" i="31"/>
  <c r="Q60" i="31"/>
  <c r="I38" i="31"/>
  <c r="I60" i="31"/>
  <c r="Y38" i="31"/>
  <c r="Y60" i="31"/>
  <c r="P38" i="31"/>
  <c r="P60" i="31"/>
  <c r="H38" i="31"/>
  <c r="H60" i="31"/>
  <c r="D75" i="48"/>
  <c r="E75" i="48" s="1"/>
  <c r="F75" i="48" s="1"/>
  <c r="G75" i="48" s="1"/>
  <c r="H75" i="48" s="1"/>
  <c r="I75" i="48" s="1"/>
  <c r="J75" i="48" s="1"/>
  <c r="K75" i="48" s="1"/>
  <c r="L75" i="48" s="1"/>
  <c r="M75" i="48" s="1"/>
  <c r="N75" i="48" s="1"/>
  <c r="I34" i="12"/>
  <c r="J34" i="12"/>
  <c r="J32" i="51"/>
  <c r="O74" i="51"/>
  <c r="B86" i="51" s="1"/>
  <c r="E86" i="51" s="1"/>
  <c r="AA38" i="31"/>
  <c r="AA60" i="31"/>
  <c r="S38" i="31"/>
  <c r="AG26" i="31"/>
  <c r="S60" i="31"/>
  <c r="S61" i="31" s="1"/>
  <c r="J38" i="31"/>
  <c r="J60" i="31"/>
  <c r="AH12" i="31"/>
  <c r="AI12" i="31" s="1"/>
  <c r="J32" i="54"/>
  <c r="O74" i="54"/>
  <c r="B86" i="54" s="1"/>
  <c r="E86" i="54" s="1"/>
  <c r="G6" i="31"/>
  <c r="F41" i="31"/>
  <c r="X38" i="31"/>
  <c r="X60" i="31"/>
  <c r="O38" i="31"/>
  <c r="O60" i="31"/>
  <c r="G38" i="31"/>
  <c r="G60" i="31"/>
  <c r="V38" i="31"/>
  <c r="V60" i="31"/>
  <c r="W38" i="31"/>
  <c r="W60" i="31"/>
  <c r="N38" i="31"/>
  <c r="N60" i="31"/>
  <c r="F38" i="31"/>
  <c r="F60" i="31"/>
  <c r="F61" i="31" s="1"/>
  <c r="G73" i="47"/>
  <c r="H73" i="47"/>
  <c r="I73" i="47"/>
  <c r="Q76" i="12"/>
  <c r="R76" i="12" s="1"/>
  <c r="S76" i="12" s="1"/>
  <c r="T76" i="12" s="1"/>
  <c r="U76" i="12" s="1"/>
  <c r="V76" i="12" s="1"/>
  <c r="W76" i="12" s="1"/>
  <c r="X76" i="12" s="1"/>
  <c r="Y76" i="12" s="1"/>
  <c r="Z76" i="12" s="1"/>
  <c r="AA76" i="12" s="1"/>
  <c r="V74" i="49" l="1"/>
  <c r="Z61" i="31"/>
  <c r="S74" i="49"/>
  <c r="W61" i="31"/>
  <c r="S74" i="50" s="1"/>
  <c r="Z74" i="49"/>
  <c r="AD61" i="31"/>
  <c r="X74" i="49"/>
  <c r="AB61" i="31"/>
  <c r="X74" i="50" s="1"/>
  <c r="T74" i="49"/>
  <c r="X61" i="31"/>
  <c r="R74" i="49"/>
  <c r="V61" i="31"/>
  <c r="R74" i="50" s="1"/>
  <c r="P74" i="49"/>
  <c r="T61" i="31"/>
  <c r="P74" i="50" s="1"/>
  <c r="Y74" i="49"/>
  <c r="AC61" i="31"/>
  <c r="Y74" i="50" s="1"/>
  <c r="U74" i="49"/>
  <c r="Y61" i="31"/>
  <c r="Q74" i="49"/>
  <c r="U61" i="31"/>
  <c r="W74" i="49"/>
  <c r="AA61" i="31"/>
  <c r="W74" i="50" s="1"/>
  <c r="F73" i="49"/>
  <c r="I61" i="31"/>
  <c r="H73" i="49"/>
  <c r="K61" i="31"/>
  <c r="D73" i="49"/>
  <c r="G61" i="31"/>
  <c r="E73" i="49"/>
  <c r="H61" i="31"/>
  <c r="E73" i="50" s="1"/>
  <c r="I73" i="49"/>
  <c r="L61" i="31"/>
  <c r="K73" i="49"/>
  <c r="N61" i="31"/>
  <c r="L73" i="49"/>
  <c r="O61" i="31"/>
  <c r="L73" i="50" s="1"/>
  <c r="M73" i="49"/>
  <c r="P61" i="31"/>
  <c r="M73" i="50" s="1"/>
  <c r="J73" i="49"/>
  <c r="M61" i="31"/>
  <c r="G73" i="49"/>
  <c r="J61" i="31"/>
  <c r="N73" i="49"/>
  <c r="Q61" i="31"/>
  <c r="N73" i="50" s="1"/>
  <c r="D18" i="11"/>
  <c r="D22" i="11" s="1"/>
  <c r="D29" i="11" s="1"/>
  <c r="AG53" i="31"/>
  <c r="V74" i="50"/>
  <c r="Z74" i="50"/>
  <c r="O74" i="50"/>
  <c r="U74" i="50"/>
  <c r="T74" i="50"/>
  <c r="Q74" i="50"/>
  <c r="C18" i="11"/>
  <c r="C22" i="11" s="1"/>
  <c r="C29" i="11" s="1"/>
  <c r="AF53" i="31"/>
  <c r="F73" i="50"/>
  <c r="K73" i="50"/>
  <c r="C73" i="50"/>
  <c r="D73" i="50"/>
  <c r="B87" i="57"/>
  <c r="E87" i="57" s="1"/>
  <c r="B86" i="57"/>
  <c r="E86" i="57" s="1"/>
  <c r="B87" i="51"/>
  <c r="E87" i="51" s="1"/>
  <c r="B86" i="48"/>
  <c r="E86" i="48" s="1"/>
  <c r="B87" i="54"/>
  <c r="E87" i="54" s="1"/>
  <c r="B86" i="55"/>
  <c r="E86" i="55" s="1"/>
  <c r="G73" i="50"/>
  <c r="H73" i="50"/>
  <c r="C73" i="49"/>
  <c r="J73" i="50"/>
  <c r="I73" i="50"/>
  <c r="O74" i="49"/>
  <c r="AH26" i="31"/>
  <c r="AG60" i="31"/>
  <c r="AG61" i="31" s="1"/>
  <c r="AF60" i="31"/>
  <c r="AF61" i="31" s="1"/>
  <c r="H6" i="31"/>
  <c r="G41" i="31"/>
  <c r="B87" i="48"/>
  <c r="E87" i="48" s="1"/>
  <c r="D72" i="12"/>
  <c r="J32" i="47" l="1"/>
  <c r="C75" i="47"/>
  <c r="J32" i="49"/>
  <c r="C75" i="49"/>
  <c r="D75" i="49" s="1"/>
  <c r="E75" i="49" s="1"/>
  <c r="F75" i="49" s="1"/>
  <c r="G75" i="49" s="1"/>
  <c r="H75" i="49" s="1"/>
  <c r="I75" i="49" s="1"/>
  <c r="J75" i="49" s="1"/>
  <c r="K75" i="49" s="1"/>
  <c r="L75" i="49" s="1"/>
  <c r="M75" i="49" s="1"/>
  <c r="N75" i="49" s="1"/>
  <c r="J33" i="49"/>
  <c r="AH60" i="31"/>
  <c r="J34" i="49" s="1"/>
  <c r="O76" i="49"/>
  <c r="P76" i="49" s="1"/>
  <c r="Q76" i="49" s="1"/>
  <c r="R76" i="49" s="1"/>
  <c r="S76" i="49" s="1"/>
  <c r="T76" i="49" s="1"/>
  <c r="U76" i="49" s="1"/>
  <c r="V76" i="49" s="1"/>
  <c r="W76" i="49" s="1"/>
  <c r="X76" i="49" s="1"/>
  <c r="Y76" i="49" s="1"/>
  <c r="Z76" i="49" s="1"/>
  <c r="I6" i="31"/>
  <c r="H41" i="31"/>
  <c r="J33" i="47"/>
  <c r="AH53" i="31"/>
  <c r="J34" i="47" s="1"/>
  <c r="O76" i="47"/>
  <c r="P76" i="47" s="1"/>
  <c r="Q76" i="47" s="1"/>
  <c r="R76" i="47" s="1"/>
  <c r="S76" i="47" s="1"/>
  <c r="T76" i="47" s="1"/>
  <c r="U76" i="47" s="1"/>
  <c r="V76" i="47" s="1"/>
  <c r="W76" i="47" s="1"/>
  <c r="X76" i="47" s="1"/>
  <c r="Y76" i="47" s="1"/>
  <c r="Z76" i="47" s="1"/>
  <c r="E72" i="12"/>
  <c r="I34" i="49" l="1"/>
  <c r="J33" i="50"/>
  <c r="O76" i="50"/>
  <c r="P76" i="50" s="1"/>
  <c r="Q76" i="50" s="1"/>
  <c r="R76" i="50" s="1"/>
  <c r="S76" i="50" s="1"/>
  <c r="T76" i="50" s="1"/>
  <c r="U76" i="50" s="1"/>
  <c r="V76" i="50" s="1"/>
  <c r="W76" i="50" s="1"/>
  <c r="X76" i="50" s="1"/>
  <c r="Y76" i="50" s="1"/>
  <c r="Z76" i="50" s="1"/>
  <c r="J6" i="31"/>
  <c r="I41" i="31"/>
  <c r="D75" i="47"/>
  <c r="E75" i="47" s="1"/>
  <c r="F75" i="47" s="1"/>
  <c r="G75" i="47" s="1"/>
  <c r="H75" i="47" s="1"/>
  <c r="I75" i="47" s="1"/>
  <c r="J75" i="47" s="1"/>
  <c r="K75" i="47" s="1"/>
  <c r="L75" i="47" s="1"/>
  <c r="M75" i="47" s="1"/>
  <c r="N75" i="47" s="1"/>
  <c r="B87" i="49"/>
  <c r="E87" i="49" s="1"/>
  <c r="B86" i="49"/>
  <c r="E86" i="49" s="1"/>
  <c r="AH61" i="31"/>
  <c r="J34" i="50" s="1"/>
  <c r="C75" i="50"/>
  <c r="J32" i="50"/>
  <c r="F72" i="12"/>
  <c r="B87" i="47" l="1"/>
  <c r="E87" i="47" s="1"/>
  <c r="B86" i="47"/>
  <c r="E86" i="47" s="1"/>
  <c r="D75" i="50"/>
  <c r="E75" i="50" s="1"/>
  <c r="F75" i="50" s="1"/>
  <c r="G75" i="50" s="1"/>
  <c r="H75" i="50" s="1"/>
  <c r="I75" i="50" s="1"/>
  <c r="J75" i="50" s="1"/>
  <c r="K75" i="50" s="1"/>
  <c r="L75" i="50" s="1"/>
  <c r="M75" i="50" s="1"/>
  <c r="N75" i="50" s="1"/>
  <c r="K6" i="31"/>
  <c r="J41" i="31"/>
  <c r="G72" i="12"/>
  <c r="B86" i="50" l="1"/>
  <c r="E86" i="50" s="1"/>
  <c r="B87" i="50"/>
  <c r="E87" i="50" s="1"/>
  <c r="L6" i="31"/>
  <c r="K41" i="31"/>
  <c r="H72" i="12"/>
  <c r="M6" i="31" l="1"/>
  <c r="L41" i="31"/>
  <c r="I72" i="12"/>
  <c r="N6" i="31" l="1"/>
  <c r="M41" i="31"/>
  <c r="J72" i="12"/>
  <c r="O6" i="31" l="1"/>
  <c r="N41" i="31"/>
  <c r="K72" i="12"/>
  <c r="G3" i="11"/>
  <c r="P6" i="31" l="1"/>
  <c r="O41" i="31"/>
  <c r="L72" i="12"/>
  <c r="Q6" i="31" l="1"/>
  <c r="P41" i="31"/>
  <c r="M72" i="12"/>
  <c r="H9" i="11"/>
  <c r="S6" i="31" l="1"/>
  <c r="Q41" i="31"/>
  <c r="N43" i="31" s="1"/>
  <c r="K73" i="34" s="1"/>
  <c r="E5" i="13"/>
  <c r="N72" i="12"/>
  <c r="H3" i="11"/>
  <c r="G4" i="11"/>
  <c r="H8" i="11"/>
  <c r="O44" i="31" l="1"/>
  <c r="L73" i="35" s="1"/>
  <c r="O43" i="31"/>
  <c r="L73" i="34" s="1"/>
  <c r="N47" i="31"/>
  <c r="K73" i="38" s="1"/>
  <c r="L43" i="31"/>
  <c r="I73" i="34" s="1"/>
  <c r="M43" i="31"/>
  <c r="J73" i="34" s="1"/>
  <c r="Q46" i="31"/>
  <c r="N73" i="37" s="1"/>
  <c r="Q44" i="31"/>
  <c r="N73" i="35" s="1"/>
  <c r="Q45" i="31"/>
  <c r="N73" i="36" s="1"/>
  <c r="Q43" i="31"/>
  <c r="N73" i="34" s="1"/>
  <c r="Q47" i="31"/>
  <c r="N73" i="38" s="1"/>
  <c r="H47" i="31"/>
  <c r="E73" i="38" s="1"/>
  <c r="G44" i="31"/>
  <c r="D73" i="35" s="1"/>
  <c r="G46" i="31"/>
  <c r="D73" i="37" s="1"/>
  <c r="F46" i="31"/>
  <c r="F44" i="31"/>
  <c r="J47" i="31"/>
  <c r="G73" i="38" s="1"/>
  <c r="F45" i="31"/>
  <c r="I47" i="31"/>
  <c r="F73" i="38" s="1"/>
  <c r="F47" i="31"/>
  <c r="F43" i="31"/>
  <c r="G47" i="31"/>
  <c r="D73" i="38" s="1"/>
  <c r="H45" i="31"/>
  <c r="E73" i="36" s="1"/>
  <c r="J45" i="31"/>
  <c r="G73" i="36" s="1"/>
  <c r="G43" i="31"/>
  <c r="D73" i="34" s="1"/>
  <c r="H46" i="31"/>
  <c r="E73" i="37" s="1"/>
  <c r="H43" i="31"/>
  <c r="E73" i="34" s="1"/>
  <c r="I46" i="31"/>
  <c r="F73" i="37" s="1"/>
  <c r="I44" i="31"/>
  <c r="F73" i="35" s="1"/>
  <c r="H44" i="31"/>
  <c r="E73" i="35" s="1"/>
  <c r="G45" i="31"/>
  <c r="D73" i="36" s="1"/>
  <c r="J44" i="31"/>
  <c r="G73" i="35" s="1"/>
  <c r="I43" i="31"/>
  <c r="F73" i="34" s="1"/>
  <c r="I45" i="31"/>
  <c r="F73" i="36" s="1"/>
  <c r="K47" i="31"/>
  <c r="H73" i="38" s="1"/>
  <c r="K45" i="31"/>
  <c r="H73" i="36" s="1"/>
  <c r="J43" i="31"/>
  <c r="G73" i="34" s="1"/>
  <c r="K43" i="31"/>
  <c r="H73" i="34" s="1"/>
  <c r="J46" i="31"/>
  <c r="G73" i="37" s="1"/>
  <c r="K46" i="31"/>
  <c r="H73" i="37" s="1"/>
  <c r="M46" i="31"/>
  <c r="J73" i="37" s="1"/>
  <c r="K44" i="31"/>
  <c r="H73" i="35" s="1"/>
  <c r="L46" i="31"/>
  <c r="I73" i="37" s="1"/>
  <c r="O46" i="31"/>
  <c r="L73" i="37" s="1"/>
  <c r="N45" i="31"/>
  <c r="K73" i="36" s="1"/>
  <c r="L47" i="31"/>
  <c r="I73" i="38" s="1"/>
  <c r="P43" i="31"/>
  <c r="M73" i="34" s="1"/>
  <c r="M44" i="31"/>
  <c r="J73" i="35" s="1"/>
  <c r="M45" i="31"/>
  <c r="J73" i="36" s="1"/>
  <c r="M47" i="31"/>
  <c r="J73" i="38" s="1"/>
  <c r="P46" i="31"/>
  <c r="M73" i="37" s="1"/>
  <c r="T6" i="31"/>
  <c r="S41" i="31"/>
  <c r="O47" i="31"/>
  <c r="L73" i="38" s="1"/>
  <c r="P47" i="31"/>
  <c r="M73" i="38" s="1"/>
  <c r="O45" i="31"/>
  <c r="L73" i="36" s="1"/>
  <c r="P45" i="31"/>
  <c r="M73" i="36" s="1"/>
  <c r="L44" i="31"/>
  <c r="I73" i="35" s="1"/>
  <c r="N44" i="31"/>
  <c r="K73" i="35" s="1"/>
  <c r="P44" i="31"/>
  <c r="M73" i="35" s="1"/>
  <c r="N46" i="31"/>
  <c r="K73" i="37" s="1"/>
  <c r="L45" i="31"/>
  <c r="I73" i="36" s="1"/>
  <c r="O72" i="12"/>
  <c r="G11" i="11"/>
  <c r="I11" i="11" s="1"/>
  <c r="G8" i="11"/>
  <c r="I8" i="11" s="1"/>
  <c r="K32" i="39" s="1"/>
  <c r="G5" i="11"/>
  <c r="I5" i="11" s="1"/>
  <c r="H4" i="11"/>
  <c r="I4" i="11" s="1"/>
  <c r="G9" i="11"/>
  <c r="I9" i="11" s="1"/>
  <c r="K32" i="40" s="1"/>
  <c r="G10" i="11"/>
  <c r="I10" i="11" s="1"/>
  <c r="H6" i="11"/>
  <c r="I6" i="11" s="1"/>
  <c r="I3" i="11"/>
  <c r="K32" i="12" s="1"/>
  <c r="AF43" i="31" l="1"/>
  <c r="AF47" i="31"/>
  <c r="AF44" i="31"/>
  <c r="AF46" i="31"/>
  <c r="AF45" i="31"/>
  <c r="C73" i="35"/>
  <c r="C73" i="37"/>
  <c r="C73" i="34"/>
  <c r="U6" i="31"/>
  <c r="T41" i="31"/>
  <c r="C73" i="38"/>
  <c r="C73" i="36"/>
  <c r="P72" i="12"/>
  <c r="E7" i="13"/>
  <c r="J33" i="36" l="1"/>
  <c r="C75" i="36"/>
  <c r="D75" i="36" s="1"/>
  <c r="E75" i="36" s="1"/>
  <c r="F75" i="36" s="1"/>
  <c r="G75" i="36" s="1"/>
  <c r="H75" i="36" s="1"/>
  <c r="I75" i="36" s="1"/>
  <c r="J75" i="36" s="1"/>
  <c r="K75" i="36" s="1"/>
  <c r="L75" i="36" s="1"/>
  <c r="M75" i="36" s="1"/>
  <c r="N75" i="36" s="1"/>
  <c r="V6" i="31"/>
  <c r="U41" i="31"/>
  <c r="C75" i="37"/>
  <c r="D75" i="37" s="1"/>
  <c r="E75" i="37" s="1"/>
  <c r="F75" i="37" s="1"/>
  <c r="G75" i="37" s="1"/>
  <c r="H75" i="37" s="1"/>
  <c r="I75" i="37" s="1"/>
  <c r="J75" i="37" s="1"/>
  <c r="K75" i="37" s="1"/>
  <c r="L75" i="37" s="1"/>
  <c r="M75" i="37" s="1"/>
  <c r="N75" i="37" s="1"/>
  <c r="J33" i="37"/>
  <c r="C75" i="38"/>
  <c r="D75" i="38" s="1"/>
  <c r="E75" i="38" s="1"/>
  <c r="F75" i="38" s="1"/>
  <c r="G75" i="38" s="1"/>
  <c r="H75" i="38" s="1"/>
  <c r="I75" i="38" s="1"/>
  <c r="J75" i="38" s="1"/>
  <c r="K75" i="38" s="1"/>
  <c r="L75" i="38" s="1"/>
  <c r="M75" i="38" s="1"/>
  <c r="N75" i="38" s="1"/>
  <c r="J33" i="38"/>
  <c r="C75" i="34"/>
  <c r="D75" i="34" s="1"/>
  <c r="E75" i="34" s="1"/>
  <c r="F75" i="34" s="1"/>
  <c r="G75" i="34" s="1"/>
  <c r="H75" i="34" s="1"/>
  <c r="I75" i="34" s="1"/>
  <c r="J75" i="34" s="1"/>
  <c r="K75" i="34" s="1"/>
  <c r="L75" i="34" s="1"/>
  <c r="M75" i="34" s="1"/>
  <c r="N75" i="34" s="1"/>
  <c r="J33" i="34"/>
  <c r="C75" i="35"/>
  <c r="D75" i="35" s="1"/>
  <c r="E75" i="35" s="1"/>
  <c r="F75" i="35" s="1"/>
  <c r="G75" i="35" s="1"/>
  <c r="H75" i="35" s="1"/>
  <c r="I75" i="35" s="1"/>
  <c r="J75" i="35" s="1"/>
  <c r="K75" i="35" s="1"/>
  <c r="L75" i="35" s="1"/>
  <c r="M75" i="35" s="1"/>
  <c r="N75" i="35" s="1"/>
  <c r="J33" i="35"/>
  <c r="Q72" i="12"/>
  <c r="W6" i="31" l="1"/>
  <c r="V41" i="31"/>
  <c r="R72" i="12"/>
  <c r="E32" i="13"/>
  <c r="X6" i="31" l="1"/>
  <c r="W41" i="31"/>
  <c r="S72" i="12"/>
  <c r="Y6" i="31" l="1"/>
  <c r="X41" i="31"/>
  <c r="T72" i="12"/>
  <c r="Z6" i="31" l="1"/>
  <c r="Y41" i="31"/>
  <c r="U72" i="12"/>
  <c r="F5" i="11"/>
  <c r="F11" i="11"/>
  <c r="F10" i="11"/>
  <c r="AA6" i="31" l="1"/>
  <c r="Z41" i="31"/>
  <c r="V72" i="12"/>
  <c r="F6" i="11"/>
  <c r="F4" i="11"/>
  <c r="F8" i="11"/>
  <c r="F9" i="11"/>
  <c r="AB6" i="31" l="1"/>
  <c r="AA41" i="31"/>
  <c r="W72" i="12"/>
  <c r="AC6" i="31" l="1"/>
  <c r="AB41" i="31"/>
  <c r="X72" i="12"/>
  <c r="AD6" i="31" l="1"/>
  <c r="AC41" i="31"/>
  <c r="Y72" i="12"/>
  <c r="E8" i="13"/>
  <c r="E10" i="13" s="1"/>
  <c r="E34" i="13"/>
  <c r="E35" i="13" s="1"/>
  <c r="F16" i="11"/>
  <c r="F14" i="11"/>
  <c r="F8" i="13"/>
  <c r="F27" i="11"/>
  <c r="AC45" i="31" l="1"/>
  <c r="Y74" i="36" s="1"/>
  <c r="AA43" i="31"/>
  <c r="W74" i="34" s="1"/>
  <c r="AA44" i="31"/>
  <c r="W74" i="35" s="1"/>
  <c r="Y43" i="31"/>
  <c r="U74" i="34" s="1"/>
  <c r="AB45" i="31"/>
  <c r="X74" i="36" s="1"/>
  <c r="F5" i="13"/>
  <c r="C3" i="13"/>
  <c r="AD41" i="31"/>
  <c r="Y47" i="31" s="1"/>
  <c r="U74" i="38" s="1"/>
  <c r="AB43" i="31"/>
  <c r="X74" i="34" s="1"/>
  <c r="X44" i="31"/>
  <c r="T74" i="35" s="1"/>
  <c r="AA47" i="31"/>
  <c r="W74" i="38" s="1"/>
  <c r="Z45" i="31"/>
  <c r="V74" i="36" s="1"/>
  <c r="AB47" i="31"/>
  <c r="X74" i="38" s="1"/>
  <c r="Z46" i="31"/>
  <c r="V74" i="37" s="1"/>
  <c r="AB46" i="31"/>
  <c r="X74" i="37" s="1"/>
  <c r="Z72" i="12"/>
  <c r="C30" i="11"/>
  <c r="F15" i="11"/>
  <c r="K14" i="11"/>
  <c r="K27" i="11"/>
  <c r="G8" i="13"/>
  <c r="H8" i="13" s="1"/>
  <c r="K16" i="11"/>
  <c r="F3" i="11"/>
  <c r="R3" i="11"/>
  <c r="R11" i="11"/>
  <c r="K11" i="11" s="1"/>
  <c r="Q19" i="13" s="1"/>
  <c r="R5" i="11"/>
  <c r="K5" i="11" s="1"/>
  <c r="Q14" i="13" s="1"/>
  <c r="R10" i="11"/>
  <c r="K10" i="11" s="1"/>
  <c r="Q18" i="13" s="1"/>
  <c r="R6" i="11"/>
  <c r="K6" i="11" s="1"/>
  <c r="Q15" i="13" s="1"/>
  <c r="R9" i="11"/>
  <c r="K9" i="11" s="1"/>
  <c r="Q17" i="13" s="1"/>
  <c r="R8" i="11"/>
  <c r="K8" i="11" s="1"/>
  <c r="Q16" i="13" s="1"/>
  <c r="R4" i="11"/>
  <c r="K4" i="11" s="1"/>
  <c r="K35" i="37" l="1"/>
  <c r="Q28" i="13"/>
  <c r="K35" i="35"/>
  <c r="Q26" i="13"/>
  <c r="K34" i="39"/>
  <c r="K34" i="40"/>
  <c r="AC44" i="31"/>
  <c r="Y74" i="35" s="1"/>
  <c r="AC46" i="31"/>
  <c r="Y74" i="37" s="1"/>
  <c r="X46" i="31"/>
  <c r="T74" i="37" s="1"/>
  <c r="X43" i="31"/>
  <c r="T74" i="34" s="1"/>
  <c r="AA45" i="31"/>
  <c r="W74" i="36" s="1"/>
  <c r="AD46" i="31"/>
  <c r="Z74" i="37" s="1"/>
  <c r="AD44" i="31"/>
  <c r="Z74" i="35" s="1"/>
  <c r="AD45" i="31"/>
  <c r="Z74" i="36" s="1"/>
  <c r="AD43" i="31"/>
  <c r="Z74" i="34" s="1"/>
  <c r="AD47" i="31"/>
  <c r="Z74" i="38" s="1"/>
  <c r="T47" i="31"/>
  <c r="P74" i="38" s="1"/>
  <c r="S45" i="31"/>
  <c r="T46" i="31"/>
  <c r="P74" i="37" s="1"/>
  <c r="S47" i="31"/>
  <c r="S43" i="31"/>
  <c r="S44" i="31"/>
  <c r="T44" i="31"/>
  <c r="P74" i="35" s="1"/>
  <c r="T45" i="31"/>
  <c r="P74" i="36" s="1"/>
  <c r="U47" i="31"/>
  <c r="Q74" i="38" s="1"/>
  <c r="T43" i="31"/>
  <c r="P74" i="34" s="1"/>
  <c r="S46" i="31"/>
  <c r="U43" i="31"/>
  <c r="Q74" i="34" s="1"/>
  <c r="U46" i="31"/>
  <c r="Q74" i="37" s="1"/>
  <c r="W45" i="31"/>
  <c r="S74" i="36" s="1"/>
  <c r="W44" i="31"/>
  <c r="S74" i="35" s="1"/>
  <c r="U45" i="31"/>
  <c r="Q74" i="36" s="1"/>
  <c r="V47" i="31"/>
  <c r="R74" i="38" s="1"/>
  <c r="W43" i="31"/>
  <c r="S74" i="34" s="1"/>
  <c r="U44" i="31"/>
  <c r="Q74" i="35" s="1"/>
  <c r="X47" i="31"/>
  <c r="T74" i="38" s="1"/>
  <c r="V45" i="31"/>
  <c r="Y46" i="31"/>
  <c r="U74" i="37" s="1"/>
  <c r="W46" i="31"/>
  <c r="S74" i="37" s="1"/>
  <c r="Z44" i="31"/>
  <c r="V74" i="35" s="1"/>
  <c r="Z43" i="31"/>
  <c r="V74" i="34" s="1"/>
  <c r="V43" i="31"/>
  <c r="R74" i="34" s="1"/>
  <c r="V46" i="31"/>
  <c r="R74" i="37" s="1"/>
  <c r="W47" i="31"/>
  <c r="S74" i="38" s="1"/>
  <c r="Y44" i="31"/>
  <c r="U74" i="35" s="1"/>
  <c r="Y45" i="31"/>
  <c r="U74" i="36" s="1"/>
  <c r="V44" i="31"/>
  <c r="R74" i="35" s="1"/>
  <c r="AA46" i="31"/>
  <c r="W74" i="37" s="1"/>
  <c r="Z47" i="31"/>
  <c r="V74" i="38" s="1"/>
  <c r="AC47" i="31"/>
  <c r="Y74" i="38" s="1"/>
  <c r="X45" i="31"/>
  <c r="T74" i="36" s="1"/>
  <c r="AC43" i="31"/>
  <c r="Y74" i="34" s="1"/>
  <c r="AB44" i="31"/>
  <c r="X74" i="35" s="1"/>
  <c r="AA72" i="12"/>
  <c r="F24" i="11"/>
  <c r="K15" i="11"/>
  <c r="L27" i="11"/>
  <c r="I8" i="13"/>
  <c r="J8" i="13" s="1"/>
  <c r="K20" i="11"/>
  <c r="Q20" i="13" s="1"/>
  <c r="F20" i="11"/>
  <c r="K3" i="11"/>
  <c r="AG44" i="31" l="1"/>
  <c r="K35" i="36"/>
  <c r="Q27" i="13"/>
  <c r="K34" i="12"/>
  <c r="Q13" i="13"/>
  <c r="N13" i="13" s="1"/>
  <c r="AG43" i="31"/>
  <c r="AG47" i="31"/>
  <c r="AG46" i="31"/>
  <c r="AG45" i="31"/>
  <c r="R74" i="36"/>
  <c r="O74" i="34"/>
  <c r="J32" i="34"/>
  <c r="K32" i="34" s="1"/>
  <c r="J32" i="38"/>
  <c r="O74" i="38"/>
  <c r="J32" i="37"/>
  <c r="K32" i="37" s="1"/>
  <c r="O74" i="37"/>
  <c r="O74" i="35"/>
  <c r="J32" i="35"/>
  <c r="K32" i="35" s="1"/>
  <c r="O74" i="36"/>
  <c r="J32" i="36"/>
  <c r="K32" i="36" s="1"/>
  <c r="F7" i="13"/>
  <c r="F10" i="13" s="1"/>
  <c r="L20" i="11"/>
  <c r="K24" i="11"/>
  <c r="G7" i="13"/>
  <c r="H7" i="13" s="1"/>
  <c r="N17" i="13" l="1"/>
  <c r="N15" i="13"/>
  <c r="N16" i="13"/>
  <c r="N19" i="13"/>
  <c r="N14" i="13"/>
  <c r="N18" i="13"/>
  <c r="N20" i="13"/>
  <c r="J34" i="34"/>
  <c r="O76" i="34"/>
  <c r="P76" i="34" s="1"/>
  <c r="Q76" i="34" s="1"/>
  <c r="R76" i="34" s="1"/>
  <c r="S76" i="34" s="1"/>
  <c r="T76" i="34" s="1"/>
  <c r="U76" i="34" s="1"/>
  <c r="V76" i="34" s="1"/>
  <c r="W76" i="34" s="1"/>
  <c r="X76" i="34" s="1"/>
  <c r="Y76" i="34" s="1"/>
  <c r="Z76" i="34" s="1"/>
  <c r="AH43" i="31"/>
  <c r="J35" i="34" s="1"/>
  <c r="O76" i="38"/>
  <c r="P76" i="38" s="1"/>
  <c r="Q76" i="38" s="1"/>
  <c r="R76" i="38" s="1"/>
  <c r="S76" i="38" s="1"/>
  <c r="T76" i="38" s="1"/>
  <c r="U76" i="38" s="1"/>
  <c r="V76" i="38" s="1"/>
  <c r="W76" i="38" s="1"/>
  <c r="X76" i="38" s="1"/>
  <c r="Y76" i="38" s="1"/>
  <c r="Z76" i="38" s="1"/>
  <c r="J34" i="38"/>
  <c r="AH47" i="31"/>
  <c r="J35" i="38" s="1"/>
  <c r="AH44" i="31"/>
  <c r="J35" i="35" s="1"/>
  <c r="O76" i="35"/>
  <c r="P76" i="35" s="1"/>
  <c r="Q76" i="35" s="1"/>
  <c r="R76" i="35" s="1"/>
  <c r="S76" i="35" s="1"/>
  <c r="T76" i="35" s="1"/>
  <c r="U76" i="35" s="1"/>
  <c r="V76" i="35" s="1"/>
  <c r="W76" i="35" s="1"/>
  <c r="X76" i="35" s="1"/>
  <c r="Y76" i="35" s="1"/>
  <c r="Z76" i="35" s="1"/>
  <c r="J34" i="35"/>
  <c r="J34" i="37"/>
  <c r="O76" i="37"/>
  <c r="P76" i="37" s="1"/>
  <c r="Q76" i="37" s="1"/>
  <c r="R76" i="37" s="1"/>
  <c r="S76" i="37" s="1"/>
  <c r="T76" i="37" s="1"/>
  <c r="U76" i="37" s="1"/>
  <c r="V76" i="37" s="1"/>
  <c r="W76" i="37" s="1"/>
  <c r="X76" i="37" s="1"/>
  <c r="Y76" i="37" s="1"/>
  <c r="Z76" i="37" s="1"/>
  <c r="AH46" i="31"/>
  <c r="J35" i="37" s="1"/>
  <c r="AH45" i="31"/>
  <c r="J35" i="36" s="1"/>
  <c r="O76" i="36"/>
  <c r="P76" i="36" s="1"/>
  <c r="Q76" i="36" s="1"/>
  <c r="R76" i="36" s="1"/>
  <c r="S76" i="36" s="1"/>
  <c r="T76" i="36" s="1"/>
  <c r="U76" i="36" s="1"/>
  <c r="V76" i="36" s="1"/>
  <c r="W76" i="36" s="1"/>
  <c r="X76" i="36" s="1"/>
  <c r="Y76" i="36" s="1"/>
  <c r="Z76" i="36" s="1"/>
  <c r="J34" i="36"/>
  <c r="L24" i="11"/>
  <c r="I7" i="13"/>
  <c r="F13" i="11"/>
  <c r="G10" i="13"/>
  <c r="H10" i="13" s="1"/>
  <c r="B18" i="13" l="1"/>
  <c r="B17" i="13"/>
  <c r="E17" i="13" s="1"/>
  <c r="B15" i="13"/>
  <c r="E15" i="13" s="1"/>
  <c r="C13" i="13"/>
  <c r="B13" i="13"/>
  <c r="I13" i="13" s="1"/>
  <c r="B19" i="13"/>
  <c r="E19" i="13" s="1"/>
  <c r="C20" i="13"/>
  <c r="C19" i="13"/>
  <c r="C17" i="13"/>
  <c r="B20" i="13"/>
  <c r="E20" i="13" s="1"/>
  <c r="C18" i="13"/>
  <c r="C15" i="13"/>
  <c r="B16" i="13"/>
  <c r="E16" i="13" s="1"/>
  <c r="C16" i="13"/>
  <c r="C14" i="13"/>
  <c r="B14" i="13"/>
  <c r="E14" i="13" s="1"/>
  <c r="B86" i="37"/>
  <c r="E86" i="37" s="1"/>
  <c r="B86" i="36"/>
  <c r="E86" i="36" s="1"/>
  <c r="B87" i="36"/>
  <c r="E87" i="36" s="1"/>
  <c r="B86" i="35"/>
  <c r="E86" i="35" s="1"/>
  <c r="B86" i="34"/>
  <c r="E86" i="34" s="1"/>
  <c r="B87" i="35"/>
  <c r="E87" i="35" s="1"/>
  <c r="B87" i="34"/>
  <c r="E87" i="34" s="1"/>
  <c r="B86" i="38"/>
  <c r="E86" i="38" s="1"/>
  <c r="B87" i="37"/>
  <c r="E87" i="37" s="1"/>
  <c r="B87" i="38"/>
  <c r="E87" i="38" s="1"/>
  <c r="E18" i="13"/>
  <c r="F18" i="13"/>
  <c r="G18" i="13"/>
  <c r="I18" i="13"/>
  <c r="J18" i="13" s="1"/>
  <c r="K13" i="11"/>
  <c r="I10" i="13"/>
  <c r="J7" i="13"/>
  <c r="E13" i="13" l="1"/>
  <c r="F13" i="13"/>
  <c r="H18" i="13"/>
  <c r="K35" i="34"/>
  <c r="Q25" i="13"/>
  <c r="I17" i="13"/>
  <c r="J17" i="13" s="1"/>
  <c r="G17" i="13"/>
  <c r="H17" i="13" s="1"/>
  <c r="F17" i="13"/>
  <c r="G20" i="13"/>
  <c r="H20" i="13" s="1"/>
  <c r="G15" i="13"/>
  <c r="H15" i="13" s="1"/>
  <c r="F15" i="13"/>
  <c r="I15" i="13"/>
  <c r="J15" i="13" s="1"/>
  <c r="G13" i="13"/>
  <c r="I19" i="13"/>
  <c r="J19" i="13" s="1"/>
  <c r="G19" i="13"/>
  <c r="H19" i="13" s="1"/>
  <c r="F19" i="13"/>
  <c r="I20" i="13"/>
  <c r="J20" i="13" s="1"/>
  <c r="F20" i="13"/>
  <c r="I16" i="13"/>
  <c r="J16" i="13" s="1"/>
  <c r="F16" i="13"/>
  <c r="G16" i="13"/>
  <c r="H16" i="13" s="1"/>
  <c r="I14" i="13"/>
  <c r="J14" i="13" s="1"/>
  <c r="G14" i="13"/>
  <c r="H14" i="13" s="1"/>
  <c r="F14" i="13"/>
  <c r="J13" i="13"/>
  <c r="K18" i="11"/>
  <c r="K29" i="11" s="1"/>
  <c r="J10" i="13"/>
  <c r="H13" i="13" l="1"/>
  <c r="I22" i="13"/>
  <c r="J22" i="13" s="1"/>
  <c r="N25" i="13"/>
  <c r="N26" i="13"/>
  <c r="N28" i="13"/>
  <c r="N27" i="13"/>
  <c r="F18" i="11"/>
  <c r="L18" i="11" s="1"/>
  <c r="I34" i="13"/>
  <c r="J34" i="13" s="1"/>
  <c r="C26" i="13" l="1"/>
  <c r="C28" i="13"/>
  <c r="C25" i="13"/>
  <c r="B26" i="13"/>
  <c r="B27" i="13"/>
  <c r="B28" i="13"/>
  <c r="B25" i="13"/>
  <c r="C27" i="13"/>
  <c r="F32" i="13"/>
  <c r="G32" i="13" s="1"/>
  <c r="H32" i="13" s="1"/>
  <c r="F22" i="11"/>
  <c r="K22" i="11"/>
  <c r="E27" i="13" l="1"/>
  <c r="F27" i="13"/>
  <c r="G27" i="13"/>
  <c r="I27" i="13"/>
  <c r="J27" i="13" s="1"/>
  <c r="E25" i="13"/>
  <c r="F25" i="13"/>
  <c r="G25" i="13"/>
  <c r="I25" i="13"/>
  <c r="E28" i="13"/>
  <c r="F28" i="13"/>
  <c r="G28" i="13"/>
  <c r="I28" i="13"/>
  <c r="J28" i="13" s="1"/>
  <c r="E26" i="13"/>
  <c r="F26" i="13"/>
  <c r="G26" i="13"/>
  <c r="I26" i="13"/>
  <c r="J26" i="13" s="1"/>
  <c r="I32" i="13"/>
  <c r="J25" i="13" l="1"/>
  <c r="I30" i="13"/>
  <c r="J32" i="13"/>
  <c r="I37" i="13" l="1"/>
  <c r="J30" i="13"/>
  <c r="F34" i="13"/>
  <c r="F35" i="13" s="1"/>
  <c r="G35" i="13" s="1"/>
  <c r="F29" i="11"/>
  <c r="D30" i="11"/>
  <c r="F26" i="11" l="1"/>
  <c r="K26" i="11" s="1"/>
  <c r="L26" i="11" s="1"/>
  <c r="G34" i="13"/>
  <c r="H34" i="13" s="1"/>
  <c r="L29" i="11"/>
  <c r="F30" i="11"/>
  <c r="D75" i="12" l="1"/>
  <c r="E75" i="12" l="1"/>
  <c r="F75" i="12" s="1"/>
  <c r="G75" i="12" s="1"/>
  <c r="H75" i="12" s="1"/>
  <c r="I75" i="12" s="1"/>
  <c r="J75" i="12" s="1"/>
  <c r="K75" i="12" s="1"/>
  <c r="L75" i="12" s="1"/>
  <c r="M75" i="12" s="1"/>
  <c r="N75" i="12" s="1"/>
  <c r="O75" i="12" s="1"/>
  <c r="B87" i="12" l="1"/>
  <c r="E87" i="12" s="1"/>
  <c r="B86" i="12"/>
  <c r="E86" i="12" s="1"/>
</calcChain>
</file>

<file path=xl/sharedStrings.xml><?xml version="1.0" encoding="utf-8"?>
<sst xmlns="http://schemas.openxmlformats.org/spreadsheetml/2006/main" count="467" uniqueCount="178">
  <si>
    <t>Loans</t>
  </si>
  <si>
    <t>NCO</t>
  </si>
  <si>
    <t>PLL</t>
  </si>
  <si>
    <t>Net Inc</t>
  </si>
  <si>
    <t>Lns</t>
  </si>
  <si>
    <t>Surplus</t>
  </si>
  <si>
    <t>LLR</t>
  </si>
  <si>
    <t>NEA</t>
  </si>
  <si>
    <t>Rel</t>
  </si>
  <si>
    <t>RS</t>
  </si>
  <si>
    <t>Other</t>
  </si>
  <si>
    <t>Net Int Inc</t>
  </si>
  <si>
    <t>NII</t>
  </si>
  <si>
    <t>NIE</t>
  </si>
  <si>
    <t>LY</t>
  </si>
  <si>
    <t>SFY</t>
  </si>
  <si>
    <t>Change in Rate X Cur Year Avg</t>
  </si>
  <si>
    <t>Change in Avg Bal x Prior Year Spread</t>
  </si>
  <si>
    <t>Change</t>
  </si>
  <si>
    <t>Yield</t>
  </si>
  <si>
    <t>Cost</t>
  </si>
  <si>
    <t>Spread</t>
  </si>
  <si>
    <t>Impact</t>
  </si>
  <si>
    <t>Non-Interest Expense</t>
  </si>
  <si>
    <t>Provision for Loan Loss Expense</t>
  </si>
  <si>
    <t>Rel Bal</t>
  </si>
  <si>
    <t>RS Bal</t>
  </si>
  <si>
    <t>Loan Loss Reserve</t>
  </si>
  <si>
    <t>Non-Earning Assets</t>
  </si>
  <si>
    <t>Rate Sensitive Funds</t>
  </si>
  <si>
    <t>Other Liabilities</t>
  </si>
  <si>
    <t>Loan Yield</t>
  </si>
  <si>
    <t>Surplus Funds Yield</t>
  </si>
  <si>
    <t>Non-Interest Income</t>
  </si>
  <si>
    <t>Impact Chart</t>
  </si>
  <si>
    <t>Consumption</t>
  </si>
  <si>
    <t>Pricing</t>
  </si>
  <si>
    <t>Impact Test (Should be Zero)</t>
  </si>
  <si>
    <t>NR</t>
  </si>
  <si>
    <t>Growth (Avg Bal &amp; Non-Int Inc)</t>
  </si>
  <si>
    <t>Cap</t>
  </si>
  <si>
    <t>Test</t>
  </si>
  <si>
    <t>Total Consumption</t>
  </si>
  <si>
    <t>Subtotal Growth</t>
  </si>
  <si>
    <t>Subtotal Pricing</t>
  </si>
  <si>
    <t>Budget</t>
  </si>
  <si>
    <t>Alloc R x V Var</t>
  </si>
  <si>
    <t>Growth in Average Daily Balance</t>
  </si>
  <si>
    <t>Growth in Ending Balance</t>
  </si>
  <si>
    <t>22 Actual</t>
  </si>
  <si>
    <t>23 Budget</t>
  </si>
  <si>
    <t>Comments/Observations:</t>
  </si>
  <si>
    <t>Actual End</t>
  </si>
  <si>
    <t>Budget End</t>
  </si>
  <si>
    <t>Actual Avg Daily</t>
  </si>
  <si>
    <t>Budget Avg Daily</t>
  </si>
  <si>
    <t>Current Year Performance</t>
  </si>
  <si>
    <t>Upcoming Budget</t>
  </si>
  <si>
    <t>Gross Loans</t>
  </si>
  <si>
    <t>Cash and Surplus Funds</t>
  </si>
  <si>
    <t>Fixed and Other Assets</t>
  </si>
  <si>
    <t>Total Assets</t>
  </si>
  <si>
    <t>Relationship Deposits</t>
  </si>
  <si>
    <t>Equity</t>
  </si>
  <si>
    <t>Total Liab + Equity</t>
  </si>
  <si>
    <t>Balance Test</t>
  </si>
  <si>
    <t>Loan Interest</t>
  </si>
  <si>
    <t>Surplus Funds Interest</t>
  </si>
  <si>
    <t>Relationship Deposit Interest</t>
  </si>
  <si>
    <t>Rate Sensitive Funds Interest</t>
  </si>
  <si>
    <t>Net Interest Income</t>
  </si>
  <si>
    <t>Net Charge-Offs</t>
  </si>
  <si>
    <t>Extraordinary Inc(Exp)</t>
  </si>
  <si>
    <t>Pretax Net Income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</si>
  <si>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</si>
  <si>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</si>
  <si>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</si>
  <si>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</si>
  <si>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</si>
  <si>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</si>
  <si>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</si>
  <si>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</si>
  <si>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</si>
  <si>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</si>
  <si>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</si>
  <si>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 xml:space="preserve"> (000s)</t>
  </si>
  <si>
    <t>; Shaded Area = Annual Avg Bal</t>
  </si>
  <si>
    <t>Show Avg</t>
  </si>
  <si>
    <t>Show End</t>
  </si>
  <si>
    <t xml:space="preserve"> (Millions)</t>
  </si>
  <si>
    <t>&lt;--ChartMin</t>
  </si>
  <si>
    <t>&lt;--ChartMax</t>
  </si>
  <si>
    <t>Prior Avg</t>
  </si>
  <si>
    <t>Bud Avg</t>
  </si>
  <si>
    <t>Pct Chg</t>
  </si>
  <si>
    <t>End Chg</t>
  </si>
  <si>
    <t>R1</t>
  </si>
  <si>
    <t>R2</t>
  </si>
  <si>
    <t>R3</t>
  </si>
  <si>
    <t>R4</t>
  </si>
  <si>
    <t>R5</t>
  </si>
  <si>
    <t>; Shaded Area = Annual Average</t>
  </si>
  <si>
    <t>Change in Yield</t>
  </si>
  <si>
    <t>Cash and Surplus Funds Yield</t>
  </si>
  <si>
    <t>Cost of Relationship Deposits</t>
  </si>
  <si>
    <t>Cost of Rate Sensitive Funds</t>
  </si>
  <si>
    <t>Change in Cost</t>
  </si>
  <si>
    <t>Change in Net Interest Margin</t>
  </si>
  <si>
    <t>Net Interest Margin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</si>
  <si>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</si>
  <si>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</si>
  <si>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</si>
  <si>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</si>
  <si>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</si>
  <si>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</si>
  <si>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</si>
  <si>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</si>
  <si>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</si>
  <si>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</si>
  <si>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Actual Monthly Avg</t>
  </si>
  <si>
    <t>Budget Monthly Avg</t>
  </si>
  <si>
    <t>Prior Yr</t>
  </si>
  <si>
    <t>Acutal</t>
  </si>
  <si>
    <t>; Shaded Area = Monthly Avg</t>
  </si>
  <si>
    <t xml:space="preserve"> (Percent of Loans)</t>
  </si>
  <si>
    <t>Loans as Percent of Assets</t>
  </si>
  <si>
    <t>Relationship Deposits as Percent of Assets</t>
  </si>
  <si>
    <t>Pretax Net Income Excluding Extraordinary Items</t>
  </si>
  <si>
    <t>Equity + Loan Loss Reserve as Percent of Loans</t>
  </si>
  <si>
    <t>Y1</t>
  </si>
  <si>
    <t>Y2</t>
  </si>
  <si>
    <t>M1</t>
  </si>
  <si>
    <t>M2</t>
  </si>
  <si>
    <t>M3</t>
  </si>
  <si>
    <t>N1</t>
  </si>
  <si>
    <t>N2</t>
  </si>
  <si>
    <t>S1</t>
  </si>
  <si>
    <t>S2</t>
  </si>
  <si>
    <t>S3</t>
  </si>
  <si>
    <t>Actual YTD</t>
  </si>
  <si>
    <t>Budget YTD</t>
  </si>
  <si>
    <t>Actual Avg</t>
  </si>
  <si>
    <t>Budget Avg</t>
  </si>
  <si>
    <t>Change in Efficiency Ratio</t>
  </si>
  <si>
    <t>Change in Economy of Scale Ratio</t>
  </si>
  <si>
    <t>Equity as Percent of Assets</t>
  </si>
  <si>
    <t>Current Year Actual and Upcoming Budget Summary Financials</t>
  </si>
  <si>
    <t>Loan Balance</t>
  </si>
  <si>
    <t>Rate Sensitive Funds Balance</t>
  </si>
  <si>
    <t>Relationship Deposit Balance</t>
  </si>
  <si>
    <t>Relationship Deposit Cost</t>
  </si>
  <si>
    <t>Rate Sensitive Funds Cost</t>
  </si>
  <si>
    <t>Efficiency Ratio</t>
  </si>
  <si>
    <t>Economy of Scale Ratio</t>
  </si>
  <si>
    <t>Non-Interest Income as Percent of Non-Interest Expense</t>
  </si>
  <si>
    <t>Balance Growth</t>
  </si>
  <si>
    <t>Product Mix</t>
  </si>
  <si>
    <t>Interest Rates</t>
  </si>
  <si>
    <t>Non-Interest Items</t>
  </si>
  <si>
    <t>Efficiency and Economy of Scale</t>
  </si>
  <si>
    <t>Asset Quality</t>
  </si>
  <si>
    <t>Reserves</t>
  </si>
  <si>
    <t>Loan Loss Reserve as Percent of Loans</t>
  </si>
  <si>
    <t>Equity plus Loan Loss Reserve as Percent of Loans</t>
  </si>
  <si>
    <t>Earnings</t>
  </si>
  <si>
    <t>Return on Assets</t>
  </si>
  <si>
    <t>Summary Budget Analysis (Rate Vs. Volume)</t>
  </si>
  <si>
    <t>Total Net Revenue</t>
  </si>
  <si>
    <t>Show Detail</t>
  </si>
  <si>
    <t>YTD Non-Int Inc as Percent of Non-Int Exp</t>
  </si>
  <si>
    <t>Home Page / Table of Contents</t>
  </si>
  <si>
    <t>`</t>
  </si>
  <si>
    <t>Operating Net Income</t>
  </si>
  <si>
    <t>Data Entry and Summary Analysis</t>
  </si>
  <si>
    <t>Please enter all values in THOUSANDS of dollars.</t>
  </si>
  <si>
    <t>Pretax Operating Net Income</t>
  </si>
  <si>
    <t>Pretax Operating ROA</t>
  </si>
  <si>
    <t>Return on Avg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</si>
</sst>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,"/>
    <numFmt numFmtId="165" formatCode="mmm\ yy"/>
    <numFmt numFmtId="166" formatCode="0.0%"/>
    <numFmt numFmtId="167" formatCode="_(* #,##0_);_(* \(#,##0\);_(* &quot;-&quot;??_);_(@_)"/>
    <numFmt numFmtId="168" formatCode="_(* #,##0.000_);_(* \(#,##0.000\);_(* &quot;-&quot;??_);_(@_)"/>
    <numFmt numFmtId="169" formatCode="#,##0,&quot; m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Segoe UI"/>
      <family val="2"/>
    </font>
    <font>
      <sz val="11"/>
      <color rgb="FF000000"/>
      <name val="Calibri"/>
      <family val="2"/>
    </font>
    <font>
      <u/>
      <sz val="11"/>
      <color theme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9" borderId="3" applyNumberFormat="0" applyFont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/>
    <xf numFmtId="166" fontId="0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43" fontId="0" fillId="0" borderId="0" xfId="1" applyNumberFormat="1" applyFont="1"/>
    <xf numFmtId="43" fontId="0" fillId="0" borderId="0" xfId="0" applyNumberForma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167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7" fillId="2" borderId="0" xfId="3" applyFont="1"/>
    <xf numFmtId="0" fontId="7" fillId="2" borderId="0" xfId="3" applyFont="1" applyAlignment="1">
      <alignment horizontal="center"/>
    </xf>
    <xf numFmtId="168" fontId="0" fillId="0" borderId="0" xfId="1" applyNumberFormat="1" applyFont="1"/>
    <xf numFmtId="168" fontId="0" fillId="0" borderId="0" xfId="0" applyNumberFormat="1"/>
    <xf numFmtId="168" fontId="0" fillId="9" borderId="3" xfId="4" applyNumberFormat="1" applyFont="1"/>
    <xf numFmtId="0" fontId="0" fillId="0" borderId="0" xfId="0" applyAlignment="1">
      <alignment horizontal="center"/>
    </xf>
    <xf numFmtId="0" fontId="0" fillId="3" borderId="0" xfId="0" applyFill="1"/>
    <xf numFmtId="164" fontId="0" fillId="3" borderId="0" xfId="0" applyNumberFormat="1" applyFill="1"/>
    <xf numFmtId="10" fontId="0" fillId="3" borderId="0" xfId="2" applyNumberFormat="1" applyFont="1" applyFill="1"/>
    <xf numFmtId="0" fontId="0" fillId="0" borderId="0" xfId="0" applyFill="1"/>
    <xf numFmtId="167" fontId="0" fillId="0" borderId="0" xfId="1" applyNumberFormat="1" applyFont="1" applyFill="1"/>
    <xf numFmtId="0" fontId="0" fillId="9" borderId="3" xfId="4" applyFont="1"/>
    <xf numFmtId="0" fontId="0" fillId="9" borderId="4" xfId="4" applyFont="1" applyBorder="1"/>
    <xf numFmtId="0" fontId="0" fillId="9" borderId="5" xfId="4" applyFont="1" applyBorder="1"/>
    <xf numFmtId="0" fontId="0" fillId="9" borderId="6" xfId="4" applyFont="1" applyBorder="1"/>
    <xf numFmtId="0" fontId="0" fillId="9" borderId="7" xfId="4" applyFont="1" applyBorder="1"/>
    <xf numFmtId="0" fontId="0" fillId="9" borderId="0" xfId="4" applyFont="1" applyBorder="1"/>
    <xf numFmtId="0" fontId="0" fillId="9" borderId="8" xfId="4" applyFont="1" applyBorder="1"/>
    <xf numFmtId="0" fontId="0" fillId="9" borderId="9" xfId="4" applyFont="1" applyBorder="1"/>
    <xf numFmtId="0" fontId="0" fillId="9" borderId="10" xfId="4" applyFont="1" applyBorder="1"/>
    <xf numFmtId="0" fontId="0" fillId="9" borderId="11" xfId="4" applyFont="1" applyBorder="1"/>
    <xf numFmtId="165" fontId="0" fillId="0" borderId="0" xfId="0" applyNumberFormat="1" applyAlignment="1">
      <alignment horizontal="center"/>
    </xf>
    <xf numFmtId="165" fontId="0" fillId="9" borderId="3" xfId="4" applyNumberFormat="1" applyFont="1" applyBorder="1" applyAlignment="1">
      <alignment horizontal="center"/>
    </xf>
    <xf numFmtId="165" fontId="1" fillId="10" borderId="3" xfId="5" applyNumberFormat="1" applyBorder="1" applyAlignment="1">
      <alignment horizontal="center"/>
    </xf>
    <xf numFmtId="165" fontId="1" fillId="12" borderId="3" xfId="7" applyNumberFormat="1" applyBorder="1" applyAlignment="1">
      <alignment horizontal="center"/>
    </xf>
    <xf numFmtId="0" fontId="4" fillId="0" borderId="0" xfId="0" applyFont="1"/>
    <xf numFmtId="0" fontId="2" fillId="0" borderId="0" xfId="0" applyFont="1"/>
    <xf numFmtId="37" fontId="0" fillId="9" borderId="3" xfId="4" applyNumberFormat="1" applyFont="1"/>
    <xf numFmtId="37" fontId="2" fillId="0" borderId="0" xfId="0" applyNumberFormat="1" applyFont="1"/>
    <xf numFmtId="37" fontId="0" fillId="0" borderId="0" xfId="0" applyNumberFormat="1"/>
    <xf numFmtId="37" fontId="4" fillId="0" borderId="0" xfId="0" applyNumberFormat="1" applyFont="1"/>
    <xf numFmtId="37" fontId="2" fillId="0" borderId="12" xfId="0" applyNumberFormat="1" applyFont="1" applyBorder="1"/>
    <xf numFmtId="0" fontId="0" fillId="9" borderId="3" xfId="4" applyFont="1" applyAlignment="1">
      <alignment horizontal="center"/>
    </xf>
    <xf numFmtId="0" fontId="9" fillId="0" borderId="0" xfId="0" applyFont="1" applyAlignment="1">
      <alignment horizontal="center"/>
    </xf>
    <xf numFmtId="169" fontId="0" fillId="0" borderId="0" xfId="0" applyNumberFormat="1" applyBorder="1"/>
    <xf numFmtId="166" fontId="0" fillId="0" borderId="0" xfId="2" applyNumberFormat="1" applyFont="1" applyBorder="1"/>
    <xf numFmtId="164" fontId="0" fillId="0" borderId="0" xfId="0" applyNumberFormat="1" applyAlignment="1">
      <alignment horizontal="center"/>
    </xf>
    <xf numFmtId="9" fontId="0" fillId="9" borderId="3" xfId="2" applyFont="1" applyFill="1" applyBorder="1" applyAlignment="1">
      <alignment horizontal="center"/>
    </xf>
    <xf numFmtId="0" fontId="0" fillId="0" borderId="3" xfId="4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Border="1"/>
    <xf numFmtId="3" fontId="0" fillId="3" borderId="0" xfId="0" applyNumberFormat="1" applyFill="1"/>
    <xf numFmtId="3" fontId="0" fillId="0" borderId="0" xfId="2" applyNumberFormat="1" applyFont="1" applyAlignment="1">
      <alignment horizontal="center"/>
    </xf>
    <xf numFmtId="37" fontId="0" fillId="0" borderId="0" xfId="2" applyNumberFormat="1" applyFont="1" applyBorder="1"/>
    <xf numFmtId="0" fontId="0" fillId="0" borderId="0" xfId="0" applyAlignment="1">
      <alignment horizontal="center"/>
    </xf>
    <xf numFmtId="166" fontId="0" fillId="3" borderId="0" xfId="2" applyNumberFormat="1" applyFont="1" applyFill="1"/>
    <xf numFmtId="0" fontId="0" fillId="9" borderId="3" xfId="4" applyFont="1" applyProtection="1">
      <protection locked="0"/>
    </xf>
    <xf numFmtId="9" fontId="0" fillId="9" borderId="3" xfId="2" applyFont="1" applyFill="1" applyBorder="1" applyAlignment="1" applyProtection="1">
      <alignment horizontal="center"/>
      <protection locked="0"/>
    </xf>
    <xf numFmtId="0" fontId="0" fillId="9" borderId="3" xfId="4" applyFont="1" applyAlignment="1" applyProtection="1">
      <alignment horizontal="center"/>
      <protection locked="0"/>
    </xf>
    <xf numFmtId="0" fontId="0" fillId="9" borderId="4" xfId="4" applyFont="1" applyBorder="1" applyProtection="1">
      <protection locked="0"/>
    </xf>
    <xf numFmtId="0" fontId="0" fillId="9" borderId="5" xfId="4" applyFont="1" applyBorder="1" applyProtection="1">
      <protection locked="0"/>
    </xf>
    <xf numFmtId="0" fontId="0" fillId="9" borderId="6" xfId="4" applyFont="1" applyBorder="1" applyProtection="1">
      <protection locked="0"/>
    </xf>
    <xf numFmtId="0" fontId="0" fillId="9" borderId="7" xfId="4" applyFont="1" applyBorder="1" applyProtection="1">
      <protection locked="0"/>
    </xf>
    <xf numFmtId="0" fontId="0" fillId="9" borderId="0" xfId="4" applyFont="1" applyBorder="1" applyProtection="1">
      <protection locked="0"/>
    </xf>
    <xf numFmtId="0" fontId="0" fillId="9" borderId="8" xfId="4" applyFont="1" applyBorder="1" applyProtection="1">
      <protection locked="0"/>
    </xf>
    <xf numFmtId="0" fontId="0" fillId="9" borderId="9" xfId="4" applyFont="1" applyBorder="1" applyProtection="1">
      <protection locked="0"/>
    </xf>
    <xf numFmtId="0" fontId="0" fillId="9" borderId="10" xfId="4" applyFont="1" applyBorder="1" applyProtection="1">
      <protection locked="0"/>
    </xf>
    <xf numFmtId="0" fontId="0" fillId="9" borderId="11" xfId="4" applyFont="1" applyBorder="1" applyProtection="1">
      <protection locked="0"/>
    </xf>
    <xf numFmtId="0" fontId="0" fillId="0" borderId="0" xfId="0" applyAlignment="1">
      <alignment vertical="center"/>
    </xf>
    <xf numFmtId="0" fontId="8" fillId="6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67" fontId="2" fillId="4" borderId="0" xfId="0" applyNumberFormat="1" applyFont="1" applyFill="1" applyAlignment="1">
      <alignment vertical="center"/>
    </xf>
    <xf numFmtId="167" fontId="2" fillId="4" borderId="0" xfId="1" applyNumberFormat="1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7" fontId="2" fillId="5" borderId="0" xfId="1" applyNumberFormat="1" applyFont="1" applyFill="1" applyAlignment="1">
      <alignment vertical="center"/>
    </xf>
    <xf numFmtId="167" fontId="2" fillId="5" borderId="0" xfId="0" applyNumberFormat="1" applyFont="1" applyFill="1" applyAlignment="1">
      <alignment vertical="center"/>
    </xf>
    <xf numFmtId="0" fontId="8" fillId="8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7" fontId="2" fillId="5" borderId="13" xfId="1" applyNumberFormat="1" applyFont="1" applyFill="1" applyBorder="1" applyAlignment="1">
      <alignment vertical="center"/>
    </xf>
    <xf numFmtId="167" fontId="2" fillId="5" borderId="13" xfId="0" applyNumberFormat="1" applyFont="1" applyFill="1" applyBorder="1" applyAlignment="1">
      <alignment vertical="center"/>
    </xf>
    <xf numFmtId="0" fontId="2" fillId="13" borderId="0" xfId="0" applyFont="1" applyFill="1" applyAlignment="1">
      <alignment vertical="center"/>
    </xf>
    <xf numFmtId="0" fontId="13" fillId="0" borderId="0" xfId="8" applyAlignment="1">
      <alignment vertical="center"/>
    </xf>
    <xf numFmtId="37" fontId="2" fillId="0" borderId="2" xfId="0" applyNumberFormat="1" applyFont="1" applyBorder="1"/>
    <xf numFmtId="0" fontId="8" fillId="11" borderId="3" xfId="6" applyFont="1" applyBorder="1" applyAlignment="1">
      <alignment horizontal="center"/>
    </xf>
    <xf numFmtId="0" fontId="8" fillId="2" borderId="3" xfId="3" applyFont="1" applyBorder="1" applyAlignment="1">
      <alignment horizontal="center"/>
    </xf>
    <xf numFmtId="0" fontId="2" fillId="14" borderId="14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8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0" fontId="2" fillId="3" borderId="17" xfId="2" applyNumberFormat="1" applyFont="1" applyFill="1" applyBorder="1" applyAlignment="1">
      <alignment vertical="center"/>
    </xf>
    <xf numFmtId="167" fontId="2" fillId="3" borderId="17" xfId="0" applyNumberFormat="1" applyFont="1" applyFill="1" applyBorder="1" applyAlignment="1">
      <alignment vertical="center"/>
    </xf>
    <xf numFmtId="167" fontId="2" fillId="3" borderId="1" xfId="1" applyNumberFormat="1" applyFont="1" applyFill="1" applyBorder="1" applyAlignment="1">
      <alignment horizontal="center" vertical="center"/>
    </xf>
    <xf numFmtId="167" fontId="2" fillId="3" borderId="17" xfId="1" applyNumberFormat="1" applyFont="1" applyFill="1" applyBorder="1" applyAlignment="1">
      <alignment horizontal="center" vertical="center"/>
    </xf>
    <xf numFmtId="166" fontId="0" fillId="0" borderId="0" xfId="2" applyNumberFormat="1" applyFont="1" applyFill="1" applyAlignment="1">
      <alignment horizontal="right"/>
    </xf>
    <xf numFmtId="166" fontId="0" fillId="0" borderId="0" xfId="2" applyNumberFormat="1" applyFont="1" applyAlignment="1">
      <alignment horizontal="right"/>
    </xf>
    <xf numFmtId="166" fontId="2" fillId="4" borderId="0" xfId="2" applyNumberFormat="1" applyFont="1" applyFill="1" applyAlignment="1">
      <alignment horizontal="right" vertical="center"/>
    </xf>
    <xf numFmtId="166" fontId="2" fillId="5" borderId="13" xfId="2" applyNumberFormat="1" applyFont="1" applyFill="1" applyBorder="1" applyAlignment="1">
      <alignment horizontal="right" vertical="center"/>
    </xf>
    <xf numFmtId="166" fontId="2" fillId="5" borderId="0" xfId="2" applyNumberFormat="1" applyFont="1" applyFill="1" applyAlignment="1">
      <alignment horizontal="right" vertical="center"/>
    </xf>
    <xf numFmtId="166" fontId="2" fillId="3" borderId="1" xfId="2" applyNumberFormat="1" applyFont="1" applyFill="1" applyBorder="1" applyAlignment="1">
      <alignment horizontal="right" vertical="center"/>
    </xf>
    <xf numFmtId="166" fontId="2" fillId="3" borderId="17" xfId="2" applyNumberFormat="1" applyFont="1" applyFill="1" applyBorder="1" applyAlignment="1">
      <alignment horizontal="right" vertical="center"/>
    </xf>
  </cellXfs>
  <cellStyles count="10">
    <cellStyle name="20% - Accent5" xfId="5" builtinId="46"/>
    <cellStyle name="20% - Accent6" xfId="7" builtinId="50"/>
    <cellStyle name="Accent5" xfId="3" builtinId="45"/>
    <cellStyle name="Accent6" xfId="6" builtinId="49"/>
    <cellStyle name="Comma" xfId="1" builtinId="3"/>
    <cellStyle name="Followed Hyperlink" xfId="9" builtinId="9" customBuiltin="1"/>
    <cellStyle name="Hyperlink" xfId="8" builtinId="8" customBuiltin="1"/>
    <cellStyle name="Normal" xfId="0" builtinId="0"/>
    <cellStyle name="Note" xfId="4" builtinId="10"/>
    <cellStyle name="Percent" xfId="2" builtinId="5"/>
  </cellStyles>
  <dxfs count="0"/>
  <tableStyles count="0" defaultTableStyle="TableStyleMedium2" defaultPivotStyle="PivotStyleLight16"/>
  <colors>
    <mruColors>
      <color rgb="FF000000"/>
      <color rgb="FF70AD47"/>
      <color rgb="FF7F7F7F"/>
      <color rgb="FF666699"/>
      <color rgb="FFFF5050"/>
      <color rgb="FFFFCC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LnBal!$B$81</c:f>
          <c:strCache>
            <c:ptCount val="1"/>
            <c:pt idx="0">
              <c:v>Gross Loans (Millions); Shaded Area = Annual Avg Bal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LnBal!$B$75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LnBal!$C$72:$AA$72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LnBal!$C$75:$AA$75</c:f>
              <c:numCache>
                <c:formatCode>#,##0,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1-4E67-87F5-FB4457A6859E}"/>
            </c:ext>
          </c:extLst>
        </c:ser>
        <c:ser>
          <c:idx val="3"/>
          <c:order val="3"/>
          <c:tx>
            <c:strRef>
              <c:f>LnBal!$B$76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LnBal!$C$72:$AA$72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LnBal!$C$76:$AA$76</c:f>
              <c:numCache>
                <c:formatCode>#,##0,</c:formatCode>
                <c:ptCount val="25"/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C1-4E67-87F5-FB4457A68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LnBal!$B$73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8D2-4343-A5E6-3AE117778738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8D2-4343-A5E6-3AE117778738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2F-4368-9CDC-A23067BEDBBE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D2-4343-A5E6-3AE1177787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LnBal!$C$72:$AA$72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LnBal!$C$73:$AA$73</c:f>
              <c:numCache>
                <c:formatCode>#,##0,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3-451A-93A3-5DD0E7BE07FB}"/>
            </c:ext>
          </c:extLst>
        </c:ser>
        <c:ser>
          <c:idx val="1"/>
          <c:order val="1"/>
          <c:tx>
            <c:strRef>
              <c:f>LnBal!$B$74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2F-4368-9CDC-A23067BEDBBE}"/>
                </c:ext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2F-4368-9CDC-A23067BED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LnBal!$C$72:$AA$72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LnBal!$C$74:$AA$74</c:f>
              <c:numCache>
                <c:formatCode>#,##0,</c:formatCode>
                <c:ptCount val="25"/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E3-451A-93A3-5DD0E7BE0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1050000"/>
          <c:min val="6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RSCost!$B$81</c:f>
          <c:strCache>
            <c:ptCount val="1"/>
            <c:pt idx="0">
              <c:v>Cost of Rate Sensitive Funds;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RSCost!$B$75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RSCost!$C$72:$Z$72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RSCost!$C$75:$Z$75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2-470F-9B6E-AAACF5E9D64B}"/>
            </c:ext>
          </c:extLst>
        </c:ser>
        <c:ser>
          <c:idx val="3"/>
          <c:order val="3"/>
          <c:tx>
            <c:strRef>
              <c:f>RSCost!$B$76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RSCost!$C$72:$Z$72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RSCost!$C$76:$Z$76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2-470F-9B6E-AAACF5E9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RSCost!$B$73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62-470F-9B6E-AAACF5E9D64B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62-470F-9B6E-AAACF5E9D64B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62-470F-9B6E-AAACF5E9D64B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62-470F-9B6E-AAACF5E9D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RSCost!$C$72:$Z$72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RSCost!$C$73:$Z$73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62-470F-9B6E-AAACF5E9D64B}"/>
            </c:ext>
          </c:extLst>
        </c:ser>
        <c:ser>
          <c:idx val="1"/>
          <c:order val="1"/>
          <c:tx>
            <c:strRef>
              <c:f>RSCost!$B$74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62-470F-9B6E-AAACF5E9D64B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62-470F-9B6E-AAACF5E9D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RSCost!$C$72:$Z$72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RSCost!$C$74:$Z$74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62-470F-9B6E-AAACF5E9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2.3E-2"/>
          <c:min val="1.4999999999999999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NIM!$B$81</c:f>
          <c:strCache>
            <c:ptCount val="1"/>
            <c:pt idx="0">
              <c:v>Net Interest Margin;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NIM!$B$75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NIM!$C$72:$Z$72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NIM!$C$75:$Z$75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F-4B1E-96BA-BFA1099C43A4}"/>
            </c:ext>
          </c:extLst>
        </c:ser>
        <c:ser>
          <c:idx val="3"/>
          <c:order val="3"/>
          <c:tx>
            <c:strRef>
              <c:f>NIM!$B$76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NIM!$C$72:$Z$72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NIM!$C$76:$Z$76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F-4B1E-96BA-BFA1099C4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NIM!$B$73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7F-4B1E-96BA-BFA1099C43A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7F-4B1E-96BA-BFA1099C43A4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7F-4B1E-96BA-BFA1099C43A4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7F-4B1E-96BA-BFA1099C43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NIM!$C$72:$Z$72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NIM!$C$73:$Z$73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7F-4B1E-96BA-BFA1099C43A4}"/>
            </c:ext>
          </c:extLst>
        </c:ser>
        <c:ser>
          <c:idx val="1"/>
          <c:order val="1"/>
          <c:tx>
            <c:strRef>
              <c:f>NIM!$B$74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7F-4B1E-96BA-BFA1099C43A4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7F-4B1E-96BA-BFA1099C43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NIM!$C$72:$Z$72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NIM!$C$74:$Z$74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47F-4B1E-96BA-BFA1099C4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2.4E-2"/>
          <c:min val="1.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NII!$B$81</c:f>
          <c:strCache>
            <c:ptCount val="1"/>
            <c:pt idx="0">
              <c:v>Non-Interest Income (000s); Shaded Area = Monthly Avg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NII!$B$75</c:f>
              <c:strCache>
                <c:ptCount val="1"/>
                <c:pt idx="0">
                  <c:v>Actual Monthly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NII!$C$72:$Z$72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NII!$C$75:$Z$75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3-4AC5-8BB2-A8C42AB73C34}"/>
            </c:ext>
          </c:extLst>
        </c:ser>
        <c:ser>
          <c:idx val="3"/>
          <c:order val="3"/>
          <c:tx>
            <c:strRef>
              <c:f>NII!$B$76</c:f>
              <c:strCache>
                <c:ptCount val="1"/>
                <c:pt idx="0">
                  <c:v>Budget Monthly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NII!$C$72:$Z$72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NII!$C$76:$Z$76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3-4AC5-8BB2-A8C42AB73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NII!$B$73</c:f>
              <c:strCache>
                <c:ptCount val="1"/>
                <c:pt idx="0">
                  <c:v>Acutal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13-4AC5-8BB2-A8C42AB73C3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13-4AC5-8BB2-A8C42AB73C34}"/>
              </c:ext>
            </c:extLst>
          </c:dPt>
          <c:cat>
            <c:numRef>
              <c:f>NII!$C$72:$Z$72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NII!$C$73:$Z$73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13-4AC5-8BB2-A8C42AB73C34}"/>
            </c:ext>
          </c:extLst>
        </c:ser>
        <c:ser>
          <c:idx val="1"/>
          <c:order val="1"/>
          <c:tx>
            <c:strRef>
              <c:f>NII!$B$74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NII!$C$72:$Z$72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NII!$C$74:$Z$74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13-4AC5-8BB2-A8C42AB73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25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NIE!$B$81</c:f>
          <c:strCache>
            <c:ptCount val="1"/>
            <c:pt idx="0">
              <c:v>Non-Interest Expense (000s); Shaded Area = Monthly Avg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NIE!$B$75</c:f>
              <c:strCache>
                <c:ptCount val="1"/>
                <c:pt idx="0">
                  <c:v>Actual Monthly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NIE!$C$75:$Z$75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5C7-9FA8-327385F73238}"/>
            </c:ext>
          </c:extLst>
        </c:ser>
        <c:ser>
          <c:idx val="3"/>
          <c:order val="3"/>
          <c:tx>
            <c:strRef>
              <c:f>NIE!$B$76</c:f>
              <c:strCache>
                <c:ptCount val="1"/>
                <c:pt idx="0">
                  <c:v>Budget Monthly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NIE!$C$76:$Z$76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2-45C7-9FA8-327385F73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NIE!$B$73</c:f>
              <c:strCache>
                <c:ptCount val="1"/>
                <c:pt idx="0">
                  <c:v>Acutal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A2-45C7-9FA8-327385F7323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A2-45C7-9FA8-327385F73238}"/>
              </c:ext>
            </c:extLst>
          </c:dPt>
          <c:cat>
            <c:numRef>
              <c:f>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NIE!$C$73:$Z$73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A2-45C7-9FA8-327385F73238}"/>
            </c:ext>
          </c:extLst>
        </c:ser>
        <c:ser>
          <c:idx val="1"/>
          <c:order val="1"/>
          <c:tx>
            <c:strRef>
              <c:f>NIE!$B$74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NIE!$C$74:$Z$74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A2-45C7-9FA8-327385F73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35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Effic!$B$81</c:f>
          <c:strCache>
            <c:ptCount val="1"/>
            <c:pt idx="0">
              <c:v>Efficiency Ratio;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Effic!$B$75</c:f>
              <c:strCache>
                <c:ptCount val="1"/>
                <c:pt idx="0">
                  <c:v>Actual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Effic!$C$72:$Z$72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Effic!$C$75:$Z$75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3-4A4E-BE15-80DBED0D2F3D}"/>
            </c:ext>
          </c:extLst>
        </c:ser>
        <c:ser>
          <c:idx val="3"/>
          <c:order val="3"/>
          <c:tx>
            <c:strRef>
              <c:f>Effic!$B$76</c:f>
              <c:strCache>
                <c:ptCount val="1"/>
                <c:pt idx="0">
                  <c:v>Budget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Effic!$C$72:$Z$72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Effic!$C$76:$Z$76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3-4A4E-BE15-80DBED0D2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Effic!$B$73</c:f>
              <c:strCache>
                <c:ptCount val="1"/>
                <c:pt idx="0">
                  <c:v>Actual YTD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F3-4A4E-BE15-80DBED0D2F3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F3-4A4E-BE15-80DBED0D2F3D}"/>
              </c:ext>
            </c:extLst>
          </c:dPt>
          <c:cat>
            <c:numRef>
              <c:f>Effic!$C$72:$Z$72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Effic!$C$73:$Z$73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F3-4A4E-BE15-80DBED0D2F3D}"/>
            </c:ext>
          </c:extLst>
        </c:ser>
        <c:ser>
          <c:idx val="1"/>
          <c:order val="1"/>
          <c:tx>
            <c:strRef>
              <c:f>Effic!$B$74</c:f>
              <c:strCache>
                <c:ptCount val="1"/>
                <c:pt idx="0">
                  <c:v>Budget YTD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Effic!$C$72:$Z$72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Effic!$C$74:$Z$74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F3-4A4E-BE15-80DBED0D2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1.04"/>
          <c:min val="0.57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EOS!$B$81</c:f>
          <c:strCache>
            <c:ptCount val="1"/>
            <c:pt idx="0">
              <c:v>Economy of Scale Ratio;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EOS!$B$75</c:f>
              <c:strCache>
                <c:ptCount val="1"/>
                <c:pt idx="0">
                  <c:v>Actual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EOS!$C$72:$Z$72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EOS!$C$75:$Z$75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7-45A6-9BD6-1E5F09BACBFF}"/>
            </c:ext>
          </c:extLst>
        </c:ser>
        <c:ser>
          <c:idx val="3"/>
          <c:order val="3"/>
          <c:tx>
            <c:strRef>
              <c:f>EOS!$B$76</c:f>
              <c:strCache>
                <c:ptCount val="1"/>
                <c:pt idx="0">
                  <c:v>Budget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EOS!$C$72:$Z$72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EOS!$C$76:$Z$76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7-45A6-9BD6-1E5F09BA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EOS!$B$73</c:f>
              <c:strCache>
                <c:ptCount val="1"/>
                <c:pt idx="0">
                  <c:v>Actual YTD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17-45A6-9BD6-1E5F09BACBF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17-45A6-9BD6-1E5F09BACBFF}"/>
              </c:ext>
            </c:extLst>
          </c:dPt>
          <c:cat>
            <c:numRef>
              <c:f>EOS!$C$72:$Z$72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EOS!$C$73:$Z$73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17-45A6-9BD6-1E5F09BACBFF}"/>
            </c:ext>
          </c:extLst>
        </c:ser>
        <c:ser>
          <c:idx val="1"/>
          <c:order val="1"/>
          <c:tx>
            <c:strRef>
              <c:f>EOS!$B$74</c:f>
              <c:strCache>
                <c:ptCount val="1"/>
                <c:pt idx="0">
                  <c:v>Budget YTD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EOS!$C$72:$Z$72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EOS!$C$74:$Z$74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17-45A6-9BD6-1E5F09BA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1.7000000000000001E-2"/>
          <c:min val="4.0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NCO!$B$81</c:f>
          <c:strCache>
            <c:ptCount val="1"/>
            <c:pt idx="0">
              <c:v>Net Charge-Offs (000s); Shaded Area = Monthly Avg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NCO!$B$75</c:f>
              <c:strCache>
                <c:ptCount val="1"/>
                <c:pt idx="0">
                  <c:v>Actual Monthly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NCO!$C$72:$Z$72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NCO!$C$75:$Z$75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E-4D0B-947F-0DB38479918E}"/>
            </c:ext>
          </c:extLst>
        </c:ser>
        <c:ser>
          <c:idx val="3"/>
          <c:order val="3"/>
          <c:tx>
            <c:strRef>
              <c:f>NCO!$B$76</c:f>
              <c:strCache>
                <c:ptCount val="1"/>
                <c:pt idx="0">
                  <c:v>Budget Monthly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NCO!$C$72:$Z$72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NCO!$C$76:$Z$76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E-4D0B-947F-0DB384799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NCO!$B$73</c:f>
              <c:strCache>
                <c:ptCount val="1"/>
                <c:pt idx="0">
                  <c:v>Acutal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CE-4D0B-947F-0DB38479918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CE-4D0B-947F-0DB38479918E}"/>
              </c:ext>
            </c:extLst>
          </c:dPt>
          <c:cat>
            <c:numRef>
              <c:f>NCO!$C$72:$Z$72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NCO!$C$73:$Z$73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CE-4D0B-947F-0DB38479918E}"/>
            </c:ext>
          </c:extLst>
        </c:ser>
        <c:ser>
          <c:idx val="1"/>
          <c:order val="1"/>
          <c:tx>
            <c:strRef>
              <c:f>NCO!$B$74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NCO!$C$72:$Z$72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NCO!$C$74:$Z$74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CE-4D0B-947F-0DB384799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PLLExp!$B$81</c:f>
          <c:strCache>
            <c:ptCount val="1"/>
            <c:pt idx="0">
              <c:v>Provision for Loan Loss Expense (000s); Shaded Area = Monthly Avg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PLLExp!$B$75</c:f>
              <c:strCache>
                <c:ptCount val="1"/>
                <c:pt idx="0">
                  <c:v>Actual Monthly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PLLExp!$C$72:$Z$72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PLLExp!$C$75:$Z$75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6-4A39-8D84-B36981D390C2}"/>
            </c:ext>
          </c:extLst>
        </c:ser>
        <c:ser>
          <c:idx val="3"/>
          <c:order val="3"/>
          <c:tx>
            <c:strRef>
              <c:f>PLLExp!$B$76</c:f>
              <c:strCache>
                <c:ptCount val="1"/>
                <c:pt idx="0">
                  <c:v>Budget Monthly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PLLExp!$C$72:$Z$72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PLLExp!$C$76:$Z$76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6-4A39-8D84-B36981D3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PLLExp!$B$73</c:f>
              <c:strCache>
                <c:ptCount val="1"/>
                <c:pt idx="0">
                  <c:v>Acutal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16-4A39-8D84-B36981D390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16-4A39-8D84-B36981D390C2}"/>
              </c:ext>
            </c:extLst>
          </c:dPt>
          <c:cat>
            <c:numRef>
              <c:f>PLLExp!$C$72:$Z$72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PLLExp!$C$73:$Z$73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16-4A39-8D84-B36981D390C2}"/>
            </c:ext>
          </c:extLst>
        </c:ser>
        <c:ser>
          <c:idx val="1"/>
          <c:order val="1"/>
          <c:tx>
            <c:strRef>
              <c:f>PLLExp!$B$74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PLLExp!$C$72:$Z$72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PLLExp!$C$74:$Z$74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16-4A39-8D84-B36981D3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LLRPct!$B$81</c:f>
          <c:strCache>
            <c:ptCount val="1"/>
            <c:pt idx="0">
              <c:v>Loan Loss Reserve (Percent of Loans)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LLRPct!$B$75</c:f>
              <c:strCache>
                <c:ptCount val="1"/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LLRPct!$C$72:$Z$72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LLRPct!$C$75:$Z$75</c:f>
              <c:numCache>
                <c:formatCode>0.00%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83B-42CF-A0DB-A258B075E660}"/>
            </c:ext>
          </c:extLst>
        </c:ser>
        <c:ser>
          <c:idx val="3"/>
          <c:order val="3"/>
          <c:tx>
            <c:strRef>
              <c:f>LLRPct!$B$76</c:f>
              <c:strCache>
                <c:ptCount val="1"/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LLRPct!$C$72:$Z$72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LLRPct!$C$76:$Z$76</c:f>
              <c:numCache>
                <c:formatCode>0.00%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383B-42CF-A0DB-A258B075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LLRPct!$B$73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3B-42CF-A0DB-A258B075E66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3B-42CF-A0DB-A258B075E660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3B-42CF-A0DB-A258B075E660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3B-42CF-A0DB-A258B075E6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LLRPct!$C$72:$Z$72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LLRPct!$C$73:$Z$73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3B-42CF-A0DB-A258B075E660}"/>
            </c:ext>
          </c:extLst>
        </c:ser>
        <c:ser>
          <c:idx val="1"/>
          <c:order val="1"/>
          <c:tx>
            <c:strRef>
              <c:f>LLRPct!$B$74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3B-42CF-A0DB-A258B075E660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3B-42CF-A0DB-A258B075E6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LLRPct!$C$72:$Z$72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LLRPct!$C$74:$Z$74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3B-42CF-A0DB-A258B075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1.0999999999999999E-2"/>
          <c:min val="5.0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TSR!$B$81</c:f>
          <c:strCache>
            <c:ptCount val="1"/>
            <c:pt idx="0">
              <c:v>Equity + Loan Loss Reserve as Percent of Loans (Percent of Loans)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TSR!$B$75</c:f>
              <c:strCache>
                <c:ptCount val="1"/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TSR!$C$72:$Z$72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TSR!$C$75:$Z$75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A95A-40F0-BBB9-C95B062A5E22}"/>
            </c:ext>
          </c:extLst>
        </c:ser>
        <c:ser>
          <c:idx val="3"/>
          <c:order val="3"/>
          <c:tx>
            <c:strRef>
              <c:f>TSR!$B$76</c:f>
              <c:strCache>
                <c:ptCount val="1"/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TSR!$C$72:$Z$72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TSR!$C$76:$Z$76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A95A-40F0-BBB9-C95B062A5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TSR!$B$73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5A-40F0-BBB9-C95B062A5E2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5A-40F0-BBB9-C95B062A5E22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5A-40F0-BBB9-C95B062A5E22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5A-40F0-BBB9-C95B062A5E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TSR!$C$72:$Z$72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TSR!$C$73:$Z$73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5A-40F0-BBB9-C95B062A5E22}"/>
            </c:ext>
          </c:extLst>
        </c:ser>
        <c:ser>
          <c:idx val="1"/>
          <c:order val="1"/>
          <c:tx>
            <c:strRef>
              <c:f>TSR!$B$74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5A-40F0-BBB9-C95B062A5E22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5A-40F0-BBB9-C95B062A5E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TSR!$C$72:$Z$72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TSR!$C$74:$Z$74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95A-40F0-BBB9-C95B062A5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0.23599999999999999"/>
          <c:min val="0.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RelBal!$B$81</c:f>
          <c:strCache>
            <c:ptCount val="1"/>
            <c:pt idx="0">
              <c:v>Relationship Deposits (Millions); Shaded Area = Annual Avg Bal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RelBal!$B$75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RelBal!$C$72:$AA$72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RelBal!$C$75:$AA$75</c:f>
              <c:numCache>
                <c:formatCode>#,##0,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8-4898-876B-4F754C6F024B}"/>
            </c:ext>
          </c:extLst>
        </c:ser>
        <c:ser>
          <c:idx val="3"/>
          <c:order val="3"/>
          <c:tx>
            <c:strRef>
              <c:f>RelBal!$B$76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RelBal!$C$72:$AA$72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RelBal!$C$76:$AA$76</c:f>
              <c:numCache>
                <c:formatCode>#,##0,</c:formatCode>
                <c:ptCount val="25"/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8-4898-876B-4F754C6F0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RelBal!$B$73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8-4898-876B-4F754C6F024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8-4898-876B-4F754C6F024B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A8-4898-876B-4F754C6F024B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A8-4898-876B-4F754C6F02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RelBal!$C$72:$AA$72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RelBal!$C$73:$AA$73</c:f>
              <c:numCache>
                <c:formatCode>#,##0,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A8-4898-876B-4F754C6F024B}"/>
            </c:ext>
          </c:extLst>
        </c:ser>
        <c:ser>
          <c:idx val="1"/>
          <c:order val="1"/>
          <c:tx>
            <c:strRef>
              <c:f>RelBal!$B$74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A8-4898-876B-4F754C6F024B}"/>
                </c:ext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A8-4898-876B-4F754C6F02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RelBal!$C$72:$AA$72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RelBal!$C$74:$AA$74</c:f>
              <c:numCache>
                <c:formatCode>#,##0,</c:formatCode>
                <c:ptCount val="25"/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A8-4898-876B-4F754C6F0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810000"/>
          <c:min val="5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EqAssets!$B$81</c:f>
          <c:strCache>
            <c:ptCount val="1"/>
            <c:pt idx="0">
              <c:v>Equity as Percent of Assets (Percent of Loans)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EqAssets!$B$75</c:f>
              <c:strCache>
                <c:ptCount val="1"/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EqAssets!$C$72:$Z$72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EqAssets!$C$75:$Z$75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1C5-469A-8466-D45F7E8F738C}"/>
            </c:ext>
          </c:extLst>
        </c:ser>
        <c:ser>
          <c:idx val="3"/>
          <c:order val="3"/>
          <c:tx>
            <c:strRef>
              <c:f>EqAssets!$B$76</c:f>
              <c:strCache>
                <c:ptCount val="1"/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EqAssets!$C$72:$Z$72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EqAssets!$C$76:$Z$76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91C5-469A-8466-D45F7E8F7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EqAssets!$B$73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5-469A-8466-D45F7E8F738C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C5-469A-8466-D45F7E8F738C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C5-469A-8466-D45F7E8F738C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C5-469A-8466-D45F7E8F7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EqAssets!$C$72:$Z$72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EqAssets!$C$73:$Z$73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C5-469A-8466-D45F7E8F738C}"/>
            </c:ext>
          </c:extLst>
        </c:ser>
        <c:ser>
          <c:idx val="1"/>
          <c:order val="1"/>
          <c:tx>
            <c:strRef>
              <c:f>EqAssets!$B$74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C5-469A-8466-D45F7E8F738C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C5-469A-8466-D45F7E8F7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EqAssets!$C$72:$Z$72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EqAssets!$C$74:$Z$74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C5-469A-8466-D45F7E8F7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0.13500000000000001"/>
          <c:min val="0.101999999999999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NetInc!$B$81</c:f>
          <c:strCache>
            <c:ptCount val="1"/>
            <c:pt idx="0">
              <c:v>Pretax Operating Net Income (000s); Shaded Area = Monthly Avg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NetInc!$B$75</c:f>
              <c:strCache>
                <c:ptCount val="1"/>
                <c:pt idx="0">
                  <c:v>Actual Monthly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NetInc!$C$72:$Z$72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NetInc!$C$75:$Z$75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B-421C-8265-75AC517486D2}"/>
            </c:ext>
          </c:extLst>
        </c:ser>
        <c:ser>
          <c:idx val="3"/>
          <c:order val="3"/>
          <c:tx>
            <c:strRef>
              <c:f>NetInc!$B$76</c:f>
              <c:strCache>
                <c:ptCount val="1"/>
                <c:pt idx="0">
                  <c:v>Budget Monthly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NetInc!$C$72:$Z$72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NetInc!$C$76:$Z$76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B-421C-8265-75AC5174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NetInc!$B$73</c:f>
              <c:strCache>
                <c:ptCount val="1"/>
                <c:pt idx="0">
                  <c:v>Acutal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5B-421C-8265-75AC517486D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5B-421C-8265-75AC517486D2}"/>
              </c:ext>
            </c:extLst>
          </c:dPt>
          <c:cat>
            <c:numRef>
              <c:f>NetInc!$C$72:$Z$72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NetInc!$C$73:$Z$73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5B-421C-8265-75AC517486D2}"/>
            </c:ext>
          </c:extLst>
        </c:ser>
        <c:ser>
          <c:idx val="1"/>
          <c:order val="1"/>
          <c:tx>
            <c:strRef>
              <c:f>NetInc!$B$74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NetInc!$C$72:$Z$72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NetInc!$C$74:$Z$74</c:f>
              <c:numCache>
                <c:formatCode>#,##0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5B-421C-8265-75AC5174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16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ROA!$B$81</c:f>
          <c:strCache>
            <c:ptCount val="1"/>
            <c:pt idx="0">
              <c:v>Pretax Operating ROA;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ROA!$B$75</c:f>
              <c:strCache>
                <c:ptCount val="1"/>
                <c:pt idx="0">
                  <c:v>Actual Avg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ROA!$C$72:$Z$72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ROA!$C$75:$Z$75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A-4FB9-88EE-93DB8FBCD246}"/>
            </c:ext>
          </c:extLst>
        </c:ser>
        <c:ser>
          <c:idx val="3"/>
          <c:order val="3"/>
          <c:tx>
            <c:strRef>
              <c:f>ROA!$B$76</c:f>
              <c:strCache>
                <c:ptCount val="1"/>
                <c:pt idx="0">
                  <c:v>Budget Avg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ROA!$C$72:$Z$72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ROA!$C$76:$Z$76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A-4FB9-88EE-93DB8FBC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barChart>
        <c:barDir val="col"/>
        <c:grouping val="clustered"/>
        <c:varyColors val="0"/>
        <c:ser>
          <c:idx val="0"/>
          <c:order val="0"/>
          <c:tx>
            <c:strRef>
              <c:f>ROA!$B$73</c:f>
              <c:strCache>
                <c:ptCount val="1"/>
                <c:pt idx="0">
                  <c:v>Actual YTD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FA-4FB9-88EE-93DB8FBCD24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 w="95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FA-4FB9-88EE-93DB8FBCD246}"/>
              </c:ext>
            </c:extLst>
          </c:dPt>
          <c:cat>
            <c:numRef>
              <c:f>ROA!$C$72:$Z$72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ROA!$C$73:$Z$73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FA-4FB9-88EE-93DB8FBCD246}"/>
            </c:ext>
          </c:extLst>
        </c:ser>
        <c:ser>
          <c:idx val="1"/>
          <c:order val="1"/>
          <c:tx>
            <c:strRef>
              <c:f>ROA!$B$74</c:f>
              <c:strCache>
                <c:ptCount val="1"/>
                <c:pt idx="0">
                  <c:v>Budget YTD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  <c:invertIfNegative val="0"/>
          <c:cat>
            <c:numRef>
              <c:f>ROA!$C$72:$Z$72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ROA!$C$74:$Z$74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FA-4FB9-88EE-93DB8FBC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730389240"/>
        <c:axId val="730386888"/>
      </c:bar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1.3999999999999999E-2"/>
          <c:min val="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RSBal!$B$81</c:f>
          <c:strCache>
            <c:ptCount val="1"/>
            <c:pt idx="0">
              <c:v>Rate Sensitive Funds (Millions); Shaded Area = Annual Avg Bal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RSBal!$B$75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RSBal!$C$72:$AA$72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RSBal!$C$75:$AA$75</c:f>
              <c:numCache>
                <c:formatCode>#,##0,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2-474D-830D-1A3147C8E3FC}"/>
            </c:ext>
          </c:extLst>
        </c:ser>
        <c:ser>
          <c:idx val="3"/>
          <c:order val="3"/>
          <c:tx>
            <c:strRef>
              <c:f>RSBal!$B$76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RSBal!$C$72:$AA$72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RSBal!$C$76:$AA$76</c:f>
              <c:numCache>
                <c:formatCode>#,##0,</c:formatCode>
                <c:ptCount val="25"/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2-474D-830D-1A3147C8E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RSBal!$B$73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22-474D-830D-1A3147C8E3F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22-474D-830D-1A3147C8E3FC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22-474D-830D-1A3147C8E3FC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22-474D-830D-1A3147C8E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RSBal!$C$72:$AA$72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RSBal!$C$73:$AA$73</c:f>
              <c:numCache>
                <c:formatCode>#,##0,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2-474D-830D-1A3147C8E3FC}"/>
            </c:ext>
          </c:extLst>
        </c:ser>
        <c:ser>
          <c:idx val="1"/>
          <c:order val="1"/>
          <c:tx>
            <c:strRef>
              <c:f>RSBal!$B$74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22-474D-830D-1A3147C8E3FC}"/>
                </c:ext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22-474D-830D-1A3147C8E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RSBal!$C$72:$AA$72</c:f>
              <c:numCache>
                <c:formatCode>mmm\ yy</c:formatCode>
                <c:ptCount val="2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  <c:pt idx="13">
                  <c:v>44957</c:v>
                </c:pt>
                <c:pt idx="14">
                  <c:v>44985</c:v>
                </c:pt>
                <c:pt idx="15">
                  <c:v>45016</c:v>
                </c:pt>
                <c:pt idx="16">
                  <c:v>45046</c:v>
                </c:pt>
                <c:pt idx="17">
                  <c:v>45077</c:v>
                </c:pt>
                <c:pt idx="18">
                  <c:v>45107</c:v>
                </c:pt>
                <c:pt idx="19">
                  <c:v>45138</c:v>
                </c:pt>
                <c:pt idx="20">
                  <c:v>45169</c:v>
                </c:pt>
                <c:pt idx="21">
                  <c:v>45199</c:v>
                </c:pt>
                <c:pt idx="22">
                  <c:v>45230</c:v>
                </c:pt>
                <c:pt idx="23">
                  <c:v>45260</c:v>
                </c:pt>
                <c:pt idx="24">
                  <c:v>45291</c:v>
                </c:pt>
              </c:numCache>
            </c:numRef>
          </c:cat>
          <c:val>
            <c:numRef>
              <c:f>RSBal!$C$74:$AA$74</c:f>
              <c:numCache>
                <c:formatCode>#,##0,</c:formatCode>
                <c:ptCount val="25"/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22-474D-830D-1A3147C8E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560000"/>
          <c:min val="4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LnPct!$B$81</c:f>
          <c:strCache>
            <c:ptCount val="1"/>
            <c:pt idx="0">
              <c:v>Loans as Percent of Assets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LnPct!$B$75</c:f>
              <c:strCache>
                <c:ptCount val="1"/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LnPct!$C$72:$Z$72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LnPct!$C$75:$Z$75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96-4F04-BC95-09CC0D6DFE5F}"/>
            </c:ext>
          </c:extLst>
        </c:ser>
        <c:ser>
          <c:idx val="3"/>
          <c:order val="3"/>
          <c:tx>
            <c:strRef>
              <c:f>LnPct!$B$76</c:f>
              <c:strCache>
                <c:ptCount val="1"/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LnPct!$C$72:$Z$72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LnPct!$C$76:$Z$76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FC96-4F04-BC95-09CC0D6DF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LnPct!$B$73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96-4F04-BC95-09CC0D6DFE5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96-4F04-BC95-09CC0D6DFE5F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96-4F04-BC95-09CC0D6DFE5F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96-4F04-BC95-09CC0D6DFE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LnPct!$C$72:$Z$72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LnPct!$C$73:$Z$73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96-4F04-BC95-09CC0D6DFE5F}"/>
            </c:ext>
          </c:extLst>
        </c:ser>
        <c:ser>
          <c:idx val="1"/>
          <c:order val="1"/>
          <c:tx>
            <c:strRef>
              <c:f>LnPct!$B$74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96-4F04-BC95-09CC0D6DFE5F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96-4F04-BC95-09CC0D6DFE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LnPct!$C$72:$Z$72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LnPct!$C$74:$Z$74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96-4F04-BC95-09CC0D6DF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0.73099999999999998"/>
          <c:min val="0.5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RelPct!$B$81</c:f>
          <c:strCache>
            <c:ptCount val="1"/>
            <c:pt idx="0">
              <c:v>Relationship Deposits as Percent of Assets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RelPct!$B$75</c:f>
              <c:strCache>
                <c:ptCount val="1"/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RelPct!$C$72:$Z$72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RelPct!$C$75:$Z$75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C863-47AF-9DC1-BA601F8CCE48}"/>
            </c:ext>
          </c:extLst>
        </c:ser>
        <c:ser>
          <c:idx val="3"/>
          <c:order val="3"/>
          <c:tx>
            <c:strRef>
              <c:f>RelPct!$B$76</c:f>
              <c:strCache>
                <c:ptCount val="1"/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RelPct!$C$72:$Z$72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RelPct!$C$76:$Z$76</c:f>
              <c:numCache>
                <c:formatCode>0.0%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C863-47AF-9DC1-BA601F8CC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RelPct!$B$73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63-47AF-9DC1-BA601F8CCE48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63-47AF-9DC1-BA601F8CCE48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63-47AF-9DC1-BA601F8CCE48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63-47AF-9DC1-BA601F8CC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RelPct!$C$72:$Z$72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RelPct!$C$73:$Z$73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63-47AF-9DC1-BA601F8CCE48}"/>
            </c:ext>
          </c:extLst>
        </c:ser>
        <c:ser>
          <c:idx val="1"/>
          <c:order val="1"/>
          <c:tx>
            <c:strRef>
              <c:f>RelPct!$B$74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63-47AF-9DC1-BA601F8CCE48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63-47AF-9DC1-BA601F8CC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RelPct!$C$72:$Z$72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RelPct!$C$74:$Z$74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63-47AF-9DC1-BA601F8CC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0.56899999999999995"/>
          <c:min val="0.4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NIINIE!$B$81</c:f>
          <c:strCache>
            <c:ptCount val="1"/>
            <c:pt idx="0">
              <c:v>YTD Non-Int Inc as Percent of Non-Int Exp;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NIINIE!$B$75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NIINIE!$C$72:$Z$72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NIINIE!$C$75:$Z$75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B-407A-81D8-4E7EFF8446BC}"/>
            </c:ext>
          </c:extLst>
        </c:ser>
        <c:ser>
          <c:idx val="3"/>
          <c:order val="3"/>
          <c:tx>
            <c:strRef>
              <c:f>NIINIE!$B$76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NIINIE!$C$72:$Z$72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NIINIE!$C$76:$Z$76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B-407A-81D8-4E7EFF844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NIINIE!$B$73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EB-407A-81D8-4E7EFF8446BC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EB-407A-81D8-4E7EFF8446BC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EB-407A-81D8-4E7EFF8446BC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EB-407A-81D8-4E7EFF844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NIINIE!$C$72:$Z$72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NIINIE!$C$73:$Z$73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EB-407A-81D8-4E7EFF8446BC}"/>
            </c:ext>
          </c:extLst>
        </c:ser>
        <c:ser>
          <c:idx val="1"/>
          <c:order val="1"/>
          <c:tx>
            <c:strRef>
              <c:f>NIINIE!$B$74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EB-407A-81D8-4E7EFF8446BC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EB-407A-81D8-4E7EFF844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NIINIE!$C$72:$Z$72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NIINIE!$C$74:$Z$74</c:f>
              <c:numCache>
                <c:formatCode>0.0%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EB-407A-81D8-4E7EFF844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0.55800000000000005"/>
          <c:min val="0.355999999999999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LnYld!$B$81</c:f>
          <c:strCache>
            <c:ptCount val="1"/>
            <c:pt idx="0">
              <c:v>Loan Yield;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LnYld!$B$75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LnYld!$C$72:$Z$72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LnYld!$C$75:$Z$75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533-A170-BAB111CF0BDD}"/>
            </c:ext>
          </c:extLst>
        </c:ser>
        <c:ser>
          <c:idx val="3"/>
          <c:order val="3"/>
          <c:tx>
            <c:strRef>
              <c:f>LnYld!$B$76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LnYld!$C$72:$Z$72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LnYld!$C$76:$Z$76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533-A170-BAB111CF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LnYld!$B$73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7C-440D-A444-3EF20B3A8513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533-A170-BAB111CF0BDD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E0-4533-A170-BAB111CF0BDD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E0-4533-A170-BAB111CF0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LnYld!$C$72:$Z$72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LnYld!$C$73:$Z$73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E0-4533-A170-BAB111CF0BDD}"/>
            </c:ext>
          </c:extLst>
        </c:ser>
        <c:ser>
          <c:idx val="1"/>
          <c:order val="1"/>
          <c:tx>
            <c:strRef>
              <c:f>LnYld!$B$74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7C-440D-A444-3EF20B3A8513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7C-440D-A444-3EF20B3A85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LnYld!$C$72:$Z$72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LnYld!$C$74:$Z$74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E0-4533-A170-BAB111CF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4.7E-2"/>
          <c:min val="3.3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SFYld!$B$81</c:f>
          <c:strCache>
            <c:ptCount val="1"/>
            <c:pt idx="0">
              <c:v>Cash and Surplus Funds Yield;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SFYld!$B$75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SFYld!$C$72:$Z$72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SFYld!$C$75:$Z$75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7-46F9-9B73-EC545E131E63}"/>
            </c:ext>
          </c:extLst>
        </c:ser>
        <c:ser>
          <c:idx val="3"/>
          <c:order val="3"/>
          <c:tx>
            <c:strRef>
              <c:f>SFYld!$B$76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SFYld!$C$72:$Z$72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SFYld!$C$76:$Z$76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7-46F9-9B73-EC545E131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SFYld!$B$73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97-46F9-9B73-EC545E131E63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97-46F9-9B73-EC545E131E63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97-46F9-9B73-EC545E131E63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97-46F9-9B73-EC545E131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SFYld!$C$72:$Z$72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SFYld!$C$73:$Z$73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97-46F9-9B73-EC545E131E63}"/>
            </c:ext>
          </c:extLst>
        </c:ser>
        <c:ser>
          <c:idx val="1"/>
          <c:order val="1"/>
          <c:tx>
            <c:strRef>
              <c:f>SFYld!$B$74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97-46F9-9B73-EC545E131E63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97-46F9-9B73-EC545E131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SFYld!$C$72:$Z$72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SFYld!$C$74:$Z$74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97-46F9-9B73-EC545E131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1.3000000000000001E-2"/>
          <c:min val="6.0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RelCost!$B$81</c:f>
          <c:strCache>
            <c:ptCount val="1"/>
            <c:pt idx="0">
              <c:v>Cost of Relationship Deposits; Shaded Area = Annual Average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0681405208971E-2"/>
          <c:y val="9.3845331833520812E-2"/>
          <c:w val="0.87989034423581669"/>
          <c:h val="0.78879283839520065"/>
        </c:manualLayout>
      </c:layout>
      <c:areaChart>
        <c:grouping val="standard"/>
        <c:varyColors val="0"/>
        <c:ser>
          <c:idx val="2"/>
          <c:order val="2"/>
          <c:tx>
            <c:strRef>
              <c:f>RelCost!$B$75</c:f>
              <c:strCache>
                <c:ptCount val="1"/>
                <c:pt idx="0">
                  <c:v>Actual Avg Daily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RelCost!$C$72:$Z$72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RelCost!$C$75:$Z$75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A-405B-A1A0-BF5D25A6953F}"/>
            </c:ext>
          </c:extLst>
        </c:ser>
        <c:ser>
          <c:idx val="3"/>
          <c:order val="3"/>
          <c:tx>
            <c:strRef>
              <c:f>RelCost!$B$76</c:f>
              <c:strCache>
                <c:ptCount val="1"/>
                <c:pt idx="0">
                  <c:v>Budget Avg Daily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5"/>
              </a:solidFill>
            </a:ln>
            <a:effectLst/>
          </c:spPr>
          <c:cat>
            <c:numRef>
              <c:f>RelCost!$C$72:$Z$72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RelCost!$C$76:$Z$76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A-405B-A1A0-BF5D25A69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9240"/>
        <c:axId val="730386888"/>
      </c:areaChart>
      <c:lineChart>
        <c:grouping val="standard"/>
        <c:varyColors val="0"/>
        <c:ser>
          <c:idx val="0"/>
          <c:order val="0"/>
          <c:tx>
            <c:strRef>
              <c:f>RelCost!$B$73</c:f>
              <c:strCache>
                <c:ptCount val="1"/>
                <c:pt idx="0">
                  <c:v>Actual End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7A-405B-A1A0-BF5D25A6953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7A-405B-A1A0-BF5D25A6953F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7A-405B-A1A0-BF5D25A6953F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7A-405B-A1A0-BF5D25A69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RelCost!$C$72:$Z$72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RelCost!$C$73:$Z$73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7A-405B-A1A0-BF5D25A6953F}"/>
            </c:ext>
          </c:extLst>
        </c:ser>
        <c:ser>
          <c:idx val="1"/>
          <c:order val="1"/>
          <c:tx>
            <c:strRef>
              <c:f>RelCost!$B$74</c:f>
              <c:strCache>
                <c:ptCount val="1"/>
                <c:pt idx="0">
                  <c:v>Budget End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7A-405B-A1A0-BF5D25A6953F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7A-405B-A1A0-BF5D25A69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RelCost!$C$72:$Z$72</c:f>
              <c:numCache>
                <c:formatCode>mmm\ 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RelCost!$C$74:$Z$74</c:f>
              <c:numCache>
                <c:formatCode>0.00%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B7A-405B-A1A0-BF5D25A69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89240"/>
        <c:axId val="730386888"/>
      </c:lineChart>
      <c:catAx>
        <c:axId val="7303892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6888"/>
        <c:crosses val="autoZero"/>
        <c:auto val="0"/>
        <c:lblAlgn val="ctr"/>
        <c:lblOffset val="100"/>
        <c:noMultiLvlLbl val="0"/>
      </c:catAx>
      <c:valAx>
        <c:axId val="730386888"/>
        <c:scaling>
          <c:orientation val="minMax"/>
          <c:max val="3.0000000000000001E-3"/>
          <c:min val="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CheckBox" checked="Checked" fmlaLink="ShowAvg" lockText="1" noThreeD="1"/>
</file>

<file path=xl/ctrlProps/ctrlProp13.xml><?xml version="1.0" encoding="utf-8"?>
<formControlPr xmlns="http://schemas.microsoft.com/office/spreadsheetml/2009/9/main" objectType="CheckBox" checked="Checked" fmlaLink="ShowEnd" lockText="1" noThreeD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fmlaLink="ShowDetail" lockText="1" noThreeD="1"/>
</file>

<file path=xl/ctrlProps/ctrlProp20.xml><?xml version="1.0" encoding="utf-8"?>
<formControlPr xmlns="http://schemas.microsoft.com/office/spreadsheetml/2009/9/main" objectType="CheckBox" checked="Checked" fmlaLink="ShowAvg" lockText="1" noThreeD="1"/>
</file>

<file path=xl/ctrlProps/ctrlProp21.xml><?xml version="1.0" encoding="utf-8"?>
<formControlPr xmlns="http://schemas.microsoft.com/office/spreadsheetml/2009/9/main" objectType="CheckBox" checked="Checked" fmlaLink="ShowEnd" lockText="1" noThreeD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CheckBox" checked="Checked" fmlaLink="ShowAvg" lockText="1" noThreeD="1"/>
</file>

<file path=xl/ctrlProps/ctrlProp25.xml><?xml version="1.0" encoding="utf-8"?>
<formControlPr xmlns="http://schemas.microsoft.com/office/spreadsheetml/2009/9/main" objectType="CheckBox" checked="Checked" fmlaLink="ShowEnd" lockText="1" noThreeD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CheckBox" checked="Checked" fmlaLink="ShowAvg" lockText="1" noThreeD="1"/>
</file>

<file path=xl/ctrlProps/ctrlProp29.xml><?xml version="1.0" encoding="utf-8"?>
<formControlPr xmlns="http://schemas.microsoft.com/office/spreadsheetml/2009/9/main" objectType="CheckBox" checked="Checked" fmlaLink="ShowEnd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CheckBox" checked="Checked" fmlaLink="ShowAvg" lockText="1" noThreeD="1"/>
</file>

<file path=xl/ctrlProps/ctrlProp33.xml><?xml version="1.0" encoding="utf-8"?>
<formControlPr xmlns="http://schemas.microsoft.com/office/spreadsheetml/2009/9/main" objectType="CheckBox" checked="Checked" fmlaLink="ShowEnd" lockText="1" noThreeD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checked="Checked" fmlaLink="ShowAvg" lockText="1" noThreeD="1"/>
</file>

<file path=xl/ctrlProps/ctrlProp37.xml><?xml version="1.0" encoding="utf-8"?>
<formControlPr xmlns="http://schemas.microsoft.com/office/spreadsheetml/2009/9/main" objectType="CheckBox" checked="Checked" fmlaLink="ShowEnd" lockText="1" noThreeD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checked="Checked" fmlaLink="ShowAvg" lockText="1" noThreeD="1"/>
</file>

<file path=xl/ctrlProps/ctrlProp40.xml><?xml version="1.0" encoding="utf-8"?>
<formControlPr xmlns="http://schemas.microsoft.com/office/spreadsheetml/2009/9/main" objectType="CheckBox" checked="Checked" fmlaLink="ShowAvg" lockText="1" noThreeD="1"/>
</file>

<file path=xl/ctrlProps/ctrlProp41.xml><?xml version="1.0" encoding="utf-8"?>
<formControlPr xmlns="http://schemas.microsoft.com/office/spreadsheetml/2009/9/main" objectType="CheckBox" checked="Checked" fmlaLink="ShowEn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CheckBox" checked="Checked" fmlaLink="ShowAvg" lockText="1" noThreeD="1"/>
</file>

<file path=xl/ctrlProps/ctrlProp45.xml><?xml version="1.0" encoding="utf-8"?>
<formControlPr xmlns="http://schemas.microsoft.com/office/spreadsheetml/2009/9/main" objectType="CheckBox" checked="Checked" fmlaLink="ShowEnd" lockText="1" noThreeD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CheckBox" checked="Checked" fmlaLink="ShowAvg" lockText="1" noThreeD="1"/>
</file>

<file path=xl/ctrlProps/ctrlProp49.xml><?xml version="1.0" encoding="utf-8"?>
<formControlPr xmlns="http://schemas.microsoft.com/office/spreadsheetml/2009/9/main" objectType="CheckBox" checked="Checked" fmlaLink="ShowEnd" lockText="1" noThreeD="1"/>
</file>

<file path=xl/ctrlProps/ctrlProp5.xml><?xml version="1.0" encoding="utf-8"?>
<formControlPr xmlns="http://schemas.microsoft.com/office/spreadsheetml/2009/9/main" objectType="CheckBox" checked="Checked" fmlaLink="ShowEnd" lockText="1" noThreeD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CheckBox" checked="Checked" fmlaLink="ShowAvg" lockText="1" noThreeD="1"/>
</file>

<file path=xl/ctrlProps/ctrlProp53.xml><?xml version="1.0" encoding="utf-8"?>
<formControlPr xmlns="http://schemas.microsoft.com/office/spreadsheetml/2009/9/main" objectType="CheckBox" checked="Checked" fmlaLink="ShowEnd" lockText="1" noThreeD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CheckBox" checked="Checked" fmlaLink="ShowAvg" lockText="1" noThreeD="1"/>
</file>

<file path=xl/ctrlProps/ctrlProp57.xml><?xml version="1.0" encoding="utf-8"?>
<formControlPr xmlns="http://schemas.microsoft.com/office/spreadsheetml/2009/9/main" objectType="CheckBox" checked="Checked" fmlaLink="ShowEnd" lockText="1" noThreeD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CheckBox" checked="Checked" fmlaLink="ShowAvg" lockText="1" noThreeD="1"/>
</file>

<file path=xl/ctrlProps/ctrlProp61.xml><?xml version="1.0" encoding="utf-8"?>
<formControlPr xmlns="http://schemas.microsoft.com/office/spreadsheetml/2009/9/main" objectType="CheckBox" checked="Checked" fmlaLink="ShowEnd" lockText="1" noThreeD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CheckBox" checked="Checked" fmlaLink="ShowAvg" lockText="1" noThreeD="1"/>
</file>

<file path=xl/ctrlProps/ctrlProp65.xml><?xml version="1.0" encoding="utf-8"?>
<formControlPr xmlns="http://schemas.microsoft.com/office/spreadsheetml/2009/9/main" objectType="CheckBox" checked="Checked" fmlaLink="ShowEnd" lockText="1" noThreeD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CheckBox" checked="Checked" fmlaLink="ShowAvg" lockText="1" noThreeD="1"/>
</file>

<file path=xl/ctrlProps/ctrlProp75.xml><?xml version="1.0" encoding="utf-8"?>
<formControlPr xmlns="http://schemas.microsoft.com/office/spreadsheetml/2009/9/main" objectType="CheckBox" checked="Checked" fmlaLink="ShowEnd" lockText="1" noThreeD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CheckBox" checked="Checked" fmlaLink="ShowAvg" lockText="1" noThreeD="1"/>
</file>

<file path=xl/ctrlProps/ctrlProp79.xml><?xml version="1.0" encoding="utf-8"?>
<formControlPr xmlns="http://schemas.microsoft.com/office/spreadsheetml/2009/9/main" objectType="CheckBox" checked="Checked" fmlaLink="ShowEnd" lockText="1" noThreeD="1"/>
</file>

<file path=xl/ctrlProps/ctrlProp8.xml><?xml version="1.0" encoding="utf-8"?>
<formControlPr xmlns="http://schemas.microsoft.com/office/spreadsheetml/2009/9/main" objectType="CheckBox" checked="Checked" fmlaLink="ShowAvg" lockText="1" noThreeD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CheckBox" checked="Checked" fmlaLink="ShowEnd" lockText="1" noThreeD="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0</xdr:row>
          <xdr:rowOff>66675</xdr:rowOff>
        </xdr:from>
        <xdr:to>
          <xdr:col>2</xdr:col>
          <xdr:colOff>942975</xdr:colOff>
          <xdr:row>2</xdr:row>
          <xdr:rowOff>152400</xdr:rowOff>
        </xdr:to>
        <xdr:sp macro="" textlink="">
          <xdr:nvSpPr>
            <xdr:cNvPr id="66561" name="Button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1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A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A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28675" name="Button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A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28676" name="Button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A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B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B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29699" name="Button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B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29700" name="Button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B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C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C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30723" name="Button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C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0724" name="Button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C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D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Margin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D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Margin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31747" name="Button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D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1748" name="Button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D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0</xdr:row>
          <xdr:rowOff>57150</xdr:rowOff>
        </xdr:from>
        <xdr:to>
          <xdr:col>14</xdr:col>
          <xdr:colOff>9525</xdr:colOff>
          <xdr:row>1</xdr:row>
          <xdr:rowOff>142875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E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Annual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0</xdr:row>
          <xdr:rowOff>57150</xdr:rowOff>
        </xdr:from>
        <xdr:to>
          <xdr:col>11</xdr:col>
          <xdr:colOff>161925</xdr:colOff>
          <xdr:row>1</xdr:row>
          <xdr:rowOff>142875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E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0</xdr:row>
          <xdr:rowOff>57150</xdr:rowOff>
        </xdr:from>
        <xdr:to>
          <xdr:col>8</xdr:col>
          <xdr:colOff>209550</xdr:colOff>
          <xdr:row>1</xdr:row>
          <xdr:rowOff>142875</xdr:rowOff>
        </xdr:to>
        <xdr:sp macro="" textlink="">
          <xdr:nvSpPr>
            <xdr:cNvPr id="34819" name="Button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E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4820" name="Button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E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F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Annual 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F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35843" name="Button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F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5844" name="Button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F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10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Avg Efficiency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10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Efficiency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0659" name="Button 3" hidden="1">
              <a:extLst>
                <a:ext uri="{63B3BB69-23CF-44E3-9099-C40C66FF867C}">
                  <a14:compatExt spid="_x0000_s70659"/>
                </a:ext>
                <a:ext uri="{FF2B5EF4-FFF2-40B4-BE49-F238E27FC236}">
                  <a16:creationId xmlns:a16="http://schemas.microsoft.com/office/drawing/2014/main" id="{00000000-0008-0000-1000-000003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0660" name="Button 4" hidden="1">
              <a:extLst>
                <a:ext uri="{63B3BB69-23CF-44E3-9099-C40C66FF867C}">
                  <a14:compatExt spid="_x0000_s70660"/>
                </a:ext>
                <a:ext uri="{FF2B5EF4-FFF2-40B4-BE49-F238E27FC236}">
                  <a16:creationId xmlns:a16="http://schemas.microsoft.com/office/drawing/2014/main" id="{00000000-0008-0000-1000-000004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11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Avg Economy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71682" name="Check Box 2" hidden="1">
              <a:extLst>
                <a:ext uri="{63B3BB69-23CF-44E3-9099-C40C66FF867C}">
                  <a14:compatExt spid="_x0000_s71682"/>
                </a:ext>
                <a:ext uri="{FF2B5EF4-FFF2-40B4-BE49-F238E27FC236}">
                  <a16:creationId xmlns:a16="http://schemas.microsoft.com/office/drawing/2014/main" id="{00000000-0008-0000-1100-00000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Economy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1683" name="Button 3" hidden="1">
              <a:extLst>
                <a:ext uri="{63B3BB69-23CF-44E3-9099-C40C66FF867C}">
                  <a14:compatExt spid="_x0000_s71683"/>
                </a:ext>
                <a:ext uri="{FF2B5EF4-FFF2-40B4-BE49-F238E27FC236}">
                  <a16:creationId xmlns:a16="http://schemas.microsoft.com/office/drawing/2014/main" id="{00000000-0008-0000-1100-00000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1684" name="Button 4" hidden="1">
              <a:extLst>
                <a:ext uri="{63B3BB69-23CF-44E3-9099-C40C66FF867C}">
                  <a14:compatExt spid="_x0000_s71684"/>
                </a:ext>
                <a:ext uri="{FF2B5EF4-FFF2-40B4-BE49-F238E27FC236}">
                  <a16:creationId xmlns:a16="http://schemas.microsoft.com/office/drawing/2014/main" id="{00000000-0008-0000-1100-000004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1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Annual Net Chg 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12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Net Chg 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37891" name="Button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12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7892" name="Button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12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13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Annual 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13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36867" name="Button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13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6869" name="Button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13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3171825</xdr:colOff>
          <xdr:row>0</xdr:row>
          <xdr:rowOff>57150</xdr:rowOff>
        </xdr:from>
        <xdr:to>
          <xdr:col>10</xdr:col>
          <xdr:colOff>0</xdr:colOff>
          <xdr:row>1</xdr:row>
          <xdr:rowOff>142875</xdr:rowOff>
        </xdr:to>
        <xdr:sp macro="" textlink="">
          <xdr:nvSpPr>
            <xdr:cNvPr id="67585" name="Check Box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2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Detail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0</xdr:row>
          <xdr:rowOff>57150</xdr:rowOff>
        </xdr:from>
        <xdr:to>
          <xdr:col>2</xdr:col>
          <xdr:colOff>942975</xdr:colOff>
          <xdr:row>1</xdr:row>
          <xdr:rowOff>142875</xdr:rowOff>
        </xdr:to>
        <xdr:sp macro="" textlink="">
          <xdr:nvSpPr>
            <xdr:cNvPr id="67586" name="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2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57347" name="Button 3" hidden="1">
              <a:extLst>
                <a:ext uri="{63B3BB69-23CF-44E3-9099-C40C66FF867C}">
                  <a14:compatExt spid="_x0000_s57347"/>
                </a:ext>
                <a:ext uri="{FF2B5EF4-FFF2-40B4-BE49-F238E27FC236}">
                  <a16:creationId xmlns:a16="http://schemas.microsoft.com/office/drawing/2014/main" id="{00000000-0008-0000-1400-00000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57349" name="Button 5" hidden="1">
              <a:extLst>
                <a:ext uri="{63B3BB69-23CF-44E3-9099-C40C66FF867C}">
                  <a14:compatExt spid="_x0000_s57349"/>
                </a:ext>
                <a:ext uri="{FF2B5EF4-FFF2-40B4-BE49-F238E27FC236}">
                  <a16:creationId xmlns:a16="http://schemas.microsoft.com/office/drawing/2014/main" id="{00000000-0008-0000-1400-000005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5777" name="Button 1" hidden="1">
              <a:extLst>
                <a:ext uri="{63B3BB69-23CF-44E3-9099-C40C66FF867C}">
                  <a14:compatExt spid="_x0000_s75777"/>
                </a:ext>
                <a:ext uri="{FF2B5EF4-FFF2-40B4-BE49-F238E27FC236}">
                  <a16:creationId xmlns:a16="http://schemas.microsoft.com/office/drawing/2014/main" id="{00000000-0008-0000-1500-000001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5779" name="Button 3" hidden="1">
              <a:extLst>
                <a:ext uri="{63B3BB69-23CF-44E3-9099-C40C66FF867C}">
                  <a14:compatExt spid="_x0000_s75779"/>
                </a:ext>
                <a:ext uri="{FF2B5EF4-FFF2-40B4-BE49-F238E27FC236}">
                  <a16:creationId xmlns:a16="http://schemas.microsoft.com/office/drawing/2014/main" id="{00000000-0008-0000-1500-000003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4753" name="Button 1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16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4755" name="Button 3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16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72705" name="Check Box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17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Annual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  <a:ext uri="{FF2B5EF4-FFF2-40B4-BE49-F238E27FC236}">
                  <a16:creationId xmlns:a16="http://schemas.microsoft.com/office/drawing/2014/main" id="{00000000-0008-0000-1700-000002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2707" name="Button 3" hidden="1">
              <a:extLst>
                <a:ext uri="{63B3BB69-23CF-44E3-9099-C40C66FF867C}">
                  <a14:compatExt spid="_x0000_s72707"/>
                </a:ext>
                <a:ext uri="{FF2B5EF4-FFF2-40B4-BE49-F238E27FC236}">
                  <a16:creationId xmlns:a16="http://schemas.microsoft.com/office/drawing/2014/main" id="{00000000-0008-0000-1700-000003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2709" name="Button 5" hidden="1">
              <a:extLst>
                <a:ext uri="{63B3BB69-23CF-44E3-9099-C40C66FF867C}">
                  <a14:compatExt spid="_x0000_s72709"/>
                </a:ext>
                <a:ext uri="{FF2B5EF4-FFF2-40B4-BE49-F238E27FC236}">
                  <a16:creationId xmlns:a16="http://schemas.microsoft.com/office/drawing/2014/main" id="{00000000-0008-0000-1700-000005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73729" name="Check Box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18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Annual Avg ROA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73730" name="Check Box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18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ROA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3731" name="Button 3" hidden="1">
              <a:extLst>
                <a:ext uri="{63B3BB69-23CF-44E3-9099-C40C66FF867C}">
                  <a14:compatExt spid="_x0000_s73731"/>
                </a:ext>
                <a:ext uri="{FF2B5EF4-FFF2-40B4-BE49-F238E27FC236}">
                  <a16:creationId xmlns:a16="http://schemas.microsoft.com/office/drawing/2014/main" id="{00000000-0008-0000-1800-00000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3733" name="Button 5" hidden="1">
              <a:extLst>
                <a:ext uri="{63B3BB69-23CF-44E3-9099-C40C66FF867C}">
                  <a14:compatExt spid="_x0000_s73733"/>
                </a:ext>
                <a:ext uri="{FF2B5EF4-FFF2-40B4-BE49-F238E27FC236}">
                  <a16:creationId xmlns:a16="http://schemas.microsoft.com/office/drawing/2014/main" id="{00000000-0008-0000-1800-00000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Balance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End Balance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4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Balance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4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End Balance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32771" name="Button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4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2772" name="Button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4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5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Balance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5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End Balance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5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33796" name="Button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5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7825" name="Button 1" hidden="1">
              <a:extLst>
                <a:ext uri="{63B3BB69-23CF-44E3-9099-C40C66FF867C}">
                  <a14:compatExt spid="_x0000_s77825"/>
                </a:ext>
                <a:ext uri="{FF2B5EF4-FFF2-40B4-BE49-F238E27FC236}">
                  <a16:creationId xmlns:a16="http://schemas.microsoft.com/office/drawing/2014/main" id="{00000000-0008-0000-0600-000001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7826" name="Button 2" hidden="1">
              <a:extLst>
                <a:ext uri="{63B3BB69-23CF-44E3-9099-C40C66FF867C}">
                  <a14:compatExt spid="_x0000_s77826"/>
                </a:ext>
                <a:ext uri="{FF2B5EF4-FFF2-40B4-BE49-F238E27FC236}">
                  <a16:creationId xmlns:a16="http://schemas.microsoft.com/office/drawing/2014/main" id="{00000000-0008-0000-0600-000002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78849" name="Button 1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7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78850" name="Button 2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7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0</xdr:row>
          <xdr:rowOff>57150</xdr:rowOff>
        </xdr:from>
        <xdr:to>
          <xdr:col>14</xdr:col>
          <xdr:colOff>0</xdr:colOff>
          <xdr:row>1</xdr:row>
          <xdr:rowOff>142875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8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Annual Avg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57150</xdr:rowOff>
        </xdr:from>
        <xdr:to>
          <xdr:col>11</xdr:col>
          <xdr:colOff>152400</xdr:colOff>
          <xdr:row>1</xdr:row>
          <xdr:rowOff>142875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  <a:ext uri="{FF2B5EF4-FFF2-40B4-BE49-F238E27FC236}">
                  <a16:creationId xmlns:a16="http://schemas.microsoft.com/office/drawing/2014/main" id="{00000000-0008-0000-0800-00000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YTD Ratio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57150</xdr:rowOff>
        </xdr:from>
        <xdr:to>
          <xdr:col>8</xdr:col>
          <xdr:colOff>200025</xdr:colOff>
          <xdr:row>1</xdr:row>
          <xdr:rowOff>142875</xdr:rowOff>
        </xdr:to>
        <xdr:sp macro="" textlink="">
          <xdr:nvSpPr>
            <xdr:cNvPr id="80899" name="Button 3" hidden="1">
              <a:extLst>
                <a:ext uri="{63B3BB69-23CF-44E3-9099-C40C66FF867C}">
                  <a14:compatExt spid="_x0000_s80899"/>
                </a:ext>
                <a:ext uri="{FF2B5EF4-FFF2-40B4-BE49-F238E27FC236}">
                  <a16:creationId xmlns:a16="http://schemas.microsoft.com/office/drawing/2014/main" id="{00000000-0008-0000-0800-000003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80900" name="Button 4" hidden="1">
              <a:extLst>
                <a:ext uri="{63B3BB69-23CF-44E3-9099-C40C66FF867C}">
                  <a14:compatExt spid="_x0000_s80900"/>
                </a:ext>
                <a:ext uri="{FF2B5EF4-FFF2-40B4-BE49-F238E27FC236}">
                  <a16:creationId xmlns:a16="http://schemas.microsoft.com/office/drawing/2014/main" id="{00000000-0008-0000-0800-000004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0</xdr:row>
          <xdr:rowOff>57150</xdr:rowOff>
        </xdr:from>
        <xdr:to>
          <xdr:col>14</xdr:col>
          <xdr:colOff>9525</xdr:colOff>
          <xdr:row>1</xdr:row>
          <xdr:rowOff>142875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9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Show Average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0</xdr:row>
          <xdr:rowOff>57150</xdr:rowOff>
        </xdr:from>
        <xdr:to>
          <xdr:col>11</xdr:col>
          <xdr:colOff>161925</xdr:colOff>
          <xdr:row>1</xdr:row>
          <xdr:rowOff>142875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9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Month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0</xdr:row>
          <xdr:rowOff>57150</xdr:rowOff>
        </xdr:from>
        <xdr:to>
          <xdr:col>8</xdr:col>
          <xdr:colOff>209550</xdr:colOff>
          <xdr:row>1</xdr:row>
          <xdr:rowOff>142875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9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Scale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57150</xdr:rowOff>
        </xdr:from>
        <xdr:to>
          <xdr:col>2</xdr:col>
          <xdr:colOff>333375</xdr:colOff>
          <xdr:row>1</xdr:row>
          <xdr:rowOff>142875</xdr:rowOff>
        </xdr:to>
        <xdr:sp macro="" textlink="">
          <xdr:nvSpPr>
            <xdr:cNvPr id="27652" name="Button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9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 Page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3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35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4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46.xml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5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63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62.xml"/><Relationship Id="rId5" Type="http://schemas.openxmlformats.org/officeDocument/2006/relationships/ctrlProp" Target="../ctrlProps/ctrlProp61.xml"/><Relationship Id="rId4" Type="http://schemas.openxmlformats.org/officeDocument/2006/relationships/ctrlProp" Target="../ctrlProps/ctrlProp6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67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66.xml"/><Relationship Id="rId5" Type="http://schemas.openxmlformats.org/officeDocument/2006/relationships/ctrlProp" Target="../ctrlProps/ctrlProp65.xml"/><Relationship Id="rId4" Type="http://schemas.openxmlformats.org/officeDocument/2006/relationships/ctrlProp" Target="../ctrlProps/ctrlProp6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69.xml"/><Relationship Id="rId4" Type="http://schemas.openxmlformats.org/officeDocument/2006/relationships/ctrlProp" Target="../ctrlProps/ctrlProp6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71.xml"/><Relationship Id="rId4" Type="http://schemas.openxmlformats.org/officeDocument/2006/relationships/ctrlProp" Target="../ctrlProps/ctrlProp7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73.xml"/><Relationship Id="rId4" Type="http://schemas.openxmlformats.org/officeDocument/2006/relationships/ctrlProp" Target="../ctrlProps/ctrlProp7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77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76.xml"/><Relationship Id="rId5" Type="http://schemas.openxmlformats.org/officeDocument/2006/relationships/ctrlProp" Target="../ctrlProps/ctrlProp75.xml"/><Relationship Id="rId4" Type="http://schemas.openxmlformats.org/officeDocument/2006/relationships/ctrlProp" Target="../ctrlProps/ctrlProp7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81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80.xml"/><Relationship Id="rId5" Type="http://schemas.openxmlformats.org/officeDocument/2006/relationships/ctrlProp" Target="../ctrlProps/ctrlProp79.xml"/><Relationship Id="rId4" Type="http://schemas.openxmlformats.org/officeDocument/2006/relationships/ctrlProp" Target="../ctrlProps/ctrlProp7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30A7-2B6E-483F-883D-FA253F3C69D2}">
  <sheetPr codeName="Sheet1"/>
  <dimension ref="B2:D23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60.7109375" customWidth="1"/>
    <col min="3" max="3" width="8.7109375" customWidth="1"/>
    <col min="4" max="4" width="60.7109375" customWidth="1"/>
  </cols>
  <sheetData>
    <row r="2" spans="2:4" s="20" customFormat="1" ht="23.25" x14ac:dyDescent="0.35">
      <c r="B2" s="21" t="s">
        <v>170</v>
      </c>
      <c r="C2" s="21"/>
      <c r="D2" s="21"/>
    </row>
    <row r="4" spans="2:4" s="79" customFormat="1" ht="18" customHeight="1" x14ac:dyDescent="0.25">
      <c r="B4" s="94" t="s">
        <v>173</v>
      </c>
      <c r="D4" s="94" t="s">
        <v>158</v>
      </c>
    </row>
    <row r="5" spans="2:4" s="79" customFormat="1" ht="18" customHeight="1" x14ac:dyDescent="0.25">
      <c r="B5" s="95" t="s">
        <v>146</v>
      </c>
      <c r="D5" s="95" t="s">
        <v>33</v>
      </c>
    </row>
    <row r="6" spans="2:4" s="79" customFormat="1" ht="18" customHeight="1" x14ac:dyDescent="0.25">
      <c r="B6" s="95" t="s">
        <v>166</v>
      </c>
      <c r="D6" s="95" t="s">
        <v>23</v>
      </c>
    </row>
    <row r="7" spans="2:4" s="79" customFormat="1" ht="18" customHeight="1" x14ac:dyDescent="0.25"/>
    <row r="8" spans="2:4" s="79" customFormat="1" ht="18" customHeight="1" x14ac:dyDescent="0.25">
      <c r="B8" s="94" t="s">
        <v>155</v>
      </c>
      <c r="D8" s="94" t="s">
        <v>159</v>
      </c>
    </row>
    <row r="9" spans="2:4" s="79" customFormat="1" ht="18" customHeight="1" x14ac:dyDescent="0.25">
      <c r="B9" s="95" t="s">
        <v>147</v>
      </c>
      <c r="D9" s="95" t="s">
        <v>152</v>
      </c>
    </row>
    <row r="10" spans="2:4" s="79" customFormat="1" ht="18" customHeight="1" x14ac:dyDescent="0.25">
      <c r="B10" s="95" t="s">
        <v>149</v>
      </c>
      <c r="D10" s="95" t="s">
        <v>153</v>
      </c>
    </row>
    <row r="11" spans="2:4" s="79" customFormat="1" ht="18" customHeight="1" x14ac:dyDescent="0.25">
      <c r="B11" s="95" t="s">
        <v>148</v>
      </c>
    </row>
    <row r="12" spans="2:4" s="79" customFormat="1" ht="18" customHeight="1" x14ac:dyDescent="0.25">
      <c r="D12" s="94" t="s">
        <v>160</v>
      </c>
    </row>
    <row r="13" spans="2:4" s="79" customFormat="1" ht="18" customHeight="1" x14ac:dyDescent="0.25">
      <c r="B13" s="94" t="s">
        <v>156</v>
      </c>
      <c r="D13" s="95" t="s">
        <v>71</v>
      </c>
    </row>
    <row r="14" spans="2:4" s="79" customFormat="1" ht="18" customHeight="1" x14ac:dyDescent="0.25">
      <c r="B14" s="95" t="s">
        <v>125</v>
      </c>
      <c r="D14" s="95" t="s">
        <v>24</v>
      </c>
    </row>
    <row r="15" spans="2:4" s="79" customFormat="1" ht="18" customHeight="1" x14ac:dyDescent="0.25">
      <c r="B15" s="95" t="s">
        <v>126</v>
      </c>
    </row>
    <row r="16" spans="2:4" s="79" customFormat="1" ht="18" customHeight="1" x14ac:dyDescent="0.25">
      <c r="B16" s="95" t="s">
        <v>154</v>
      </c>
      <c r="D16" s="94" t="s">
        <v>161</v>
      </c>
    </row>
    <row r="17" spans="2:4" s="79" customFormat="1" ht="18" customHeight="1" x14ac:dyDescent="0.25">
      <c r="D17" s="95" t="s">
        <v>162</v>
      </c>
    </row>
    <row r="18" spans="2:4" s="79" customFormat="1" ht="18" customHeight="1" x14ac:dyDescent="0.25">
      <c r="B18" s="94" t="s">
        <v>157</v>
      </c>
      <c r="D18" s="95" t="s">
        <v>163</v>
      </c>
    </row>
    <row r="19" spans="2:4" s="79" customFormat="1" ht="18" customHeight="1" x14ac:dyDescent="0.25">
      <c r="B19" s="95" t="s">
        <v>31</v>
      </c>
      <c r="D19" s="95" t="s">
        <v>145</v>
      </c>
    </row>
    <row r="20" spans="2:4" s="79" customFormat="1" ht="18" customHeight="1" x14ac:dyDescent="0.25">
      <c r="B20" s="95" t="s">
        <v>103</v>
      </c>
    </row>
    <row r="21" spans="2:4" s="79" customFormat="1" ht="18" customHeight="1" x14ac:dyDescent="0.25">
      <c r="B21" s="95" t="s">
        <v>150</v>
      </c>
      <c r="D21" s="94" t="s">
        <v>164</v>
      </c>
    </row>
    <row r="22" spans="2:4" s="79" customFormat="1" ht="18" customHeight="1" x14ac:dyDescent="0.25">
      <c r="B22" s="95" t="s">
        <v>151</v>
      </c>
      <c r="D22" s="95" t="s">
        <v>127</v>
      </c>
    </row>
    <row r="23" spans="2:4" s="79" customFormat="1" ht="18" customHeight="1" x14ac:dyDescent="0.25">
      <c r="B23" s="95" t="s">
        <v>108</v>
      </c>
      <c r="D23" s="95" t="s">
        <v>165</v>
      </c>
    </row>
  </sheetData>
  <hyperlinks>
    <hyperlink ref="B5" location="Data!A1" tooltip="Click to Navigate" display="Current Year Actual and Upcoming Budget Summary Financials" xr:uid="{B32F5100-790C-4B0C-95DE-C4FC2C580272}"/>
    <hyperlink ref="B6" location="RateVol!A1" tooltip="Click to Navigate" display="Summary Budget Analysis (Rate Vs. Volume)" xr:uid="{32C7CF01-C914-407D-B40D-43C404A92098}"/>
    <hyperlink ref="B9" location="LnBal!A1" tooltip="Click to Navigate" display="Loan Balance" xr:uid="{BB90FE07-B0EF-400B-A112-DA537AF37A28}"/>
    <hyperlink ref="B10" location="RelBal!A1" tooltip="Click to Navigate" display="Relationship Deposit Balance" xr:uid="{A4B6D44E-FF22-4229-B811-DA013DEB00B7}"/>
    <hyperlink ref="B11" location="RSBal!A1" tooltip="Click to Navigate" display="Rate Sensitive Funds Balance" xr:uid="{79726F0A-7BD8-4EA2-8D53-41827CE1EBAC}"/>
    <hyperlink ref="B14" location="LnPct!A1" tooltip="Click to Navigate" display="Loans as Percent of Assets" xr:uid="{9EF6A00D-524C-450B-B68B-44E1C2FFAFE5}"/>
    <hyperlink ref="B15" location="RelPct!A1" tooltip="Click to Navigate" display="Relationship Deposits as Percent of Assets" xr:uid="{5E0E0FE6-3367-457F-B9A4-076782ADD965}"/>
    <hyperlink ref="B16" location="NIINIE!A1" tooltip="Click to Navigate" display="Non-Interest Income as Percent of Non-Interest Expense" xr:uid="{95D564CA-A72E-48DC-9EA2-F7557F443A2A}"/>
    <hyperlink ref="B19" location="LnYld!A1" tooltip="Click to Navigate" display="Loan Yield" xr:uid="{610FB4EB-ADCF-4CF1-AA2C-4AA98ECE0AB2}"/>
    <hyperlink ref="B20" location="SFYld!A1" tooltip="Click to Navigate" display="Cash and Surplus Funds Yield" xr:uid="{B67CC007-981A-4411-9663-24934D7E35DC}"/>
    <hyperlink ref="B21" location="RelCost!A1" tooltip="Click to Navigate" display="Relationship Deposit Cost" xr:uid="{CB4DB922-0AAC-48BC-A3D2-E154C02A84CA}"/>
    <hyperlink ref="B22" location="RSCost!A1" tooltip="Click to Navigate" display="Rate Sensitive Funds Cost" xr:uid="{CFB1415E-790B-4A00-B390-3B164D3F1038}"/>
    <hyperlink ref="B23" location="NIM!A1" tooltip="Click to Navigate" display="Net Interest Margin" xr:uid="{2E906EE0-9D3D-4E30-8204-78EFF3076ED3}"/>
    <hyperlink ref="D5" location="NII!A1" tooltip="Click to Navigate" display="Non-Interest Income" xr:uid="{D7B9E0F2-3A2E-42F7-AF27-9432943D7BDF}"/>
    <hyperlink ref="D6" location="NIE!A1" tooltip="Click to Navigate" display="Non-Interest Expense" xr:uid="{DEAB74E4-78B4-47E5-A62C-C54F097A3EA8}"/>
    <hyperlink ref="D9" location="Effic!A1" tooltip="Click to Navigate" display="Efficiency Ratio" xr:uid="{533DBF9E-5057-4B66-A44A-7E033A1FB237}"/>
    <hyperlink ref="D10" location="EOS!A1" tooltip="Click to Navigate" display="Economy of Scale Ratio" xr:uid="{5AA3A6B6-319A-4530-B0BC-68D6F980E1B4}"/>
    <hyperlink ref="D13" location="NCO!A1" tooltip="Click to Navigate" display="Net Charge-Offs" xr:uid="{310B4EA0-0351-482A-91AD-9E460B0C562D}"/>
    <hyperlink ref="D14" location="PLLExp!A1" tooltip="Click to Navigate" display="Provision for Loan Loss Expense" xr:uid="{E6958551-AE78-476C-B43C-794B52B96869}"/>
    <hyperlink ref="D17" location="LLRPct!A1" tooltip="Click to Navigate" display="Loan Loss Reserve as Percent of Loans" xr:uid="{60C63CC4-966F-414A-96C7-1DB1BC99AA55}"/>
    <hyperlink ref="D18" location="TSR!A1" tooltip="Click to Navigate" display="Equity plus Loan Loss Reserve as Percent of Loans" xr:uid="{E48A35CB-2195-4563-A7BD-42D4F36A53E7}"/>
    <hyperlink ref="D19" location="EqAssets!A1" tooltip="Click to Navigate" display="Equity as Percent of Assets" xr:uid="{C1490268-A819-4C01-A083-E2C7DCC313D3}"/>
    <hyperlink ref="D22" location="NetInc!A1" tooltip="Click to Navigate" display="Pretax Net Income Excluding Extraordinary Items" xr:uid="{387DE467-1D1F-471C-81C9-718896689038}"/>
    <hyperlink ref="D23" location="ROA!A1" tooltip="Click to Navigate" display="Return on Assets" xr:uid="{0E03B706-549D-4FDA-A896-65161CDFE88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8CB0-A7F9-4E22-B9C9-583FDD5A080B}">
  <sheetPr codeName="Sheet27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"Gap Between "&amp;TEXT(EOMONTH(BeginDate,12),"mmm yyy")&amp;" and "&amp;TEXT(EOMONTH(BeginDate,13),"mmm yyy")</f>
        <v>Gap Between Dec 2022 and Jan 2023</v>
      </c>
      <c r="J32" s="2">
        <f>VLOOKUP(DataID,DataRange,Data!S$2,FALSE)-VLOOKUP(DataID,DataRange,Data!Q$2,FALSE)</f>
        <v>0</v>
      </c>
      <c r="K32">
        <f>IFERROR(_xlfn.CONCAT("&lt;-- Gap Equal to ",TEXT((J32*RateVolData!D3)/AVERAGE(Data!$E$12:$Q$12),"0.00%")," ROA"),0)</f>
        <v>0</v>
      </c>
    </row>
    <row r="33" spans="2:14" x14ac:dyDescent="0.25">
      <c r="D33" t="str">
        <f>"Average Yield in "&amp;TEXT(EOMONTH(BeginDate,12),"yyy")</f>
        <v>Average Yield in 2022</v>
      </c>
      <c r="J33" s="61">
        <f>VLOOKUP(DataID,DataRange,Data!$AF$2,FALSE)</f>
        <v>0</v>
      </c>
    </row>
    <row r="34" spans="2:14" x14ac:dyDescent="0.25">
      <c r="D34" t="str">
        <f>"Budget Yield in "&amp;TEXT(EOMONTH(BeginDate,24),"yyy")</f>
        <v>Budget Yield in 2023</v>
      </c>
      <c r="J34" s="61">
        <f>VLOOKUP(DataID,DataRange,Data!$AG$2,FALSE)</f>
        <v>0</v>
      </c>
    </row>
    <row r="35" spans="2:14" x14ac:dyDescent="0.25">
      <c r="D35" t="s">
        <v>102</v>
      </c>
      <c r="J35" s="61">
        <f>VLOOKUP(DataID,DataRange,Data!$AH$2,FALSE)</f>
        <v>0</v>
      </c>
      <c r="K35" t="str">
        <f>IFERROR(_xlfn.CONCAT("&lt;-- Produces ",TEXT(ROUND(ABS(VLOOKUP(DataID,RateVolData!$A:$K,11,FALSE))*1000,-3),"$#,##0")," Earnings ",IF(VLOOKUP(DataID,RateVolData!$A:$K,11,FALSE)&gt;=0,"Lift","Drag")),"")</f>
        <v>&lt;-- Produces $0 Earnings Lift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96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53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 t="s">
        <v>54</v>
      </c>
      <c r="C75" s="29">
        <f>IF(ShowAvg=FALSE,"",VLOOKUP(DataID,DataRange,Data!AF$2,FALSE))</f>
        <v>0</v>
      </c>
      <c r="D75" s="29">
        <f t="shared" ref="D75:N75" si="1">C75</f>
        <v>0</v>
      </c>
      <c r="E75" s="29">
        <f t="shared" si="1"/>
        <v>0</v>
      </c>
      <c r="F75" s="29">
        <f t="shared" si="1"/>
        <v>0</v>
      </c>
      <c r="G75" s="29">
        <f t="shared" si="1"/>
        <v>0</v>
      </c>
      <c r="H75" s="29">
        <f t="shared" si="1"/>
        <v>0</v>
      </c>
      <c r="I75" s="29">
        <f t="shared" si="1"/>
        <v>0</v>
      </c>
      <c r="J75" s="29">
        <f t="shared" si="1"/>
        <v>0</v>
      </c>
      <c r="K75" s="29">
        <f t="shared" si="1"/>
        <v>0</v>
      </c>
      <c r="L75" s="29">
        <f t="shared" si="1"/>
        <v>0</v>
      </c>
      <c r="M75" s="29">
        <f t="shared" si="1"/>
        <v>0</v>
      </c>
      <c r="N75" s="29">
        <f t="shared" si="1"/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 t="s">
        <v>55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f>IF(ShowAvg=FALSE,"",VLOOKUP(DataID,DataRange,Data!AG$2,FALSE))</f>
        <v>0</v>
      </c>
      <c r="P76" s="29">
        <f>O76</f>
        <v>0</v>
      </c>
      <c r="Q76" s="29">
        <f t="shared" ref="Q76:Z76" si="2">P76</f>
        <v>0</v>
      </c>
      <c r="R76" s="29">
        <f t="shared" si="2"/>
        <v>0</v>
      </c>
      <c r="S76" s="29">
        <f t="shared" si="2"/>
        <v>0</v>
      </c>
      <c r="T76" s="29">
        <f t="shared" si="2"/>
        <v>0</v>
      </c>
      <c r="U76" s="29">
        <f t="shared" si="2"/>
        <v>0</v>
      </c>
      <c r="V76" s="29">
        <f t="shared" si="2"/>
        <v>0</v>
      </c>
      <c r="W76" s="29">
        <f t="shared" si="2"/>
        <v>0</v>
      </c>
      <c r="X76" s="29">
        <f t="shared" si="2"/>
        <v>0</v>
      </c>
      <c r="Y76" s="29">
        <f t="shared" si="2"/>
        <v>0</v>
      </c>
      <c r="Z76" s="29">
        <f t="shared" si="2"/>
        <v>0</v>
      </c>
    </row>
    <row r="78" spans="2:26" x14ac:dyDescent="0.25">
      <c r="B78" t="str">
        <f>VLOOKUP(DataID,DataRange,Data!$C$2,FALSE)</f>
        <v>Loan Yield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Loan Yield;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11</xdr:col>
                    <xdr:colOff>457200</xdr:colOff>
                    <xdr:row>0</xdr:row>
                    <xdr:rowOff>57150</xdr:rowOff>
                  </from>
                  <to>
                    <xdr:col>14</xdr:col>
                    <xdr:colOff>9525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8</xdr:col>
                    <xdr:colOff>514350</xdr:colOff>
                    <xdr:row>0</xdr:row>
                    <xdr:rowOff>57150</xdr:rowOff>
                  </from>
                  <to>
                    <xdr:col>11</xdr:col>
                    <xdr:colOff>161925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Pict="0" macro="[0]!ScaleChart">
                <anchor moveWithCells="1">
                  <from>
                    <xdr:col>6</xdr:col>
                    <xdr:colOff>523875</xdr:colOff>
                    <xdr:row>0</xdr:row>
                    <xdr:rowOff>57150</xdr:rowOff>
                  </from>
                  <to>
                    <xdr:col>8</xdr:col>
                    <xdr:colOff>209550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3270-2CD5-42BC-A0A2-46B16BD813B8}">
  <sheetPr codeName="Sheet28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"Gap Between "&amp;TEXT(EOMONTH(BeginDate,12),"mmm yyy")&amp;" and "&amp;TEXT(EOMONTH(BeginDate,13),"mmm yyy")</f>
        <v>Gap Between Dec 2022 and Jan 2023</v>
      </c>
      <c r="J32" s="2">
        <f>VLOOKUP(DataID,DataRange,Data!S$2,FALSE)-VLOOKUP(DataID,DataRange,Data!Q$2,FALSE)</f>
        <v>0</v>
      </c>
      <c r="K32">
        <f>IFERROR(_xlfn.CONCAT("&lt;-- Gap Equal to ",TEXT((J32*RateVolData!D4)/AVERAGE(Data!$E$12:$Q$12),"0.00%")," ROA"),0)</f>
        <v>0</v>
      </c>
    </row>
    <row r="33" spans="2:14" x14ac:dyDescent="0.25">
      <c r="D33" t="str">
        <f>"Average Yield in "&amp;TEXT(EOMONTH(BeginDate,12),"yyy")</f>
        <v>Average Yield in 2022</v>
      </c>
      <c r="J33" s="61">
        <f>VLOOKUP(DataID,DataRange,Data!$AF$2,FALSE)</f>
        <v>0</v>
      </c>
    </row>
    <row r="34" spans="2:14" x14ac:dyDescent="0.25">
      <c r="D34" t="str">
        <f>"Budget Yield in "&amp;TEXT(EOMONTH(BeginDate,24),"yyy")</f>
        <v>Budget Yield in 2023</v>
      </c>
      <c r="J34" s="61">
        <f>VLOOKUP(DataID,DataRange,Data!$AG$2,FALSE)</f>
        <v>0</v>
      </c>
    </row>
    <row r="35" spans="2:14" x14ac:dyDescent="0.25">
      <c r="D35" t="s">
        <v>102</v>
      </c>
      <c r="J35" s="61">
        <f>VLOOKUP(DataID,DataRange,Data!$AH$2,FALSE)</f>
        <v>0</v>
      </c>
      <c r="K35" t="str">
        <f>IFERROR(_xlfn.CONCAT("&lt;-- Produces ",TEXT(ROUND(ABS(VLOOKUP(DataID,RateVolData!$A:$K,11,FALSE))*1000,-3),"$#,##0")," Earnings ",IF(VLOOKUP(DataID,RateVolData!$A:$K,11,FALSE)&gt;=0,"Lift","Drag")),"")</f>
        <v>&lt;-- Produces $0 Earnings Lift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97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53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 t="s">
        <v>54</v>
      </c>
      <c r="C75" s="29">
        <f>IF(ShowAvg=FALSE,"",VLOOKUP(DataID,DataRange,Data!AF$2,FALSE))</f>
        <v>0</v>
      </c>
      <c r="D75" s="29">
        <f t="shared" ref="D75:N75" si="1">C75</f>
        <v>0</v>
      </c>
      <c r="E75" s="29">
        <f t="shared" si="1"/>
        <v>0</v>
      </c>
      <c r="F75" s="29">
        <f t="shared" si="1"/>
        <v>0</v>
      </c>
      <c r="G75" s="29">
        <f t="shared" si="1"/>
        <v>0</v>
      </c>
      <c r="H75" s="29">
        <f t="shared" si="1"/>
        <v>0</v>
      </c>
      <c r="I75" s="29">
        <f t="shared" si="1"/>
        <v>0</v>
      </c>
      <c r="J75" s="29">
        <f t="shared" si="1"/>
        <v>0</v>
      </c>
      <c r="K75" s="29">
        <f t="shared" si="1"/>
        <v>0</v>
      </c>
      <c r="L75" s="29">
        <f t="shared" si="1"/>
        <v>0</v>
      </c>
      <c r="M75" s="29">
        <f t="shared" si="1"/>
        <v>0</v>
      </c>
      <c r="N75" s="29">
        <f t="shared" si="1"/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 t="s">
        <v>55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f>IF(ShowAvg=FALSE,"",VLOOKUP(DataID,DataRange,Data!AG$2,FALSE))</f>
        <v>0</v>
      </c>
      <c r="P76" s="29">
        <f>O76</f>
        <v>0</v>
      </c>
      <c r="Q76" s="29">
        <f t="shared" ref="Q76:Z76" si="2">P76</f>
        <v>0</v>
      </c>
      <c r="R76" s="29">
        <f t="shared" si="2"/>
        <v>0</v>
      </c>
      <c r="S76" s="29">
        <f t="shared" si="2"/>
        <v>0</v>
      </c>
      <c r="T76" s="29">
        <f t="shared" si="2"/>
        <v>0</v>
      </c>
      <c r="U76" s="29">
        <f t="shared" si="2"/>
        <v>0</v>
      </c>
      <c r="V76" s="29">
        <f t="shared" si="2"/>
        <v>0</v>
      </c>
      <c r="W76" s="29">
        <f t="shared" si="2"/>
        <v>0</v>
      </c>
      <c r="X76" s="29">
        <f t="shared" si="2"/>
        <v>0</v>
      </c>
      <c r="Y76" s="29">
        <f t="shared" si="2"/>
        <v>0</v>
      </c>
      <c r="Z76" s="29">
        <f t="shared" si="2"/>
        <v>0</v>
      </c>
    </row>
    <row r="78" spans="2:26" x14ac:dyDescent="0.25">
      <c r="B78" t="str">
        <f>VLOOKUP(DataID,DataRange,Data!$C$2,FALSE)</f>
        <v>Cash and Surplus Funds Yield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Cash and Surplus Funds Yield;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67B7-4D8F-4E62-9DE0-C67FCDB6285B}">
  <sheetPr codeName="Sheet29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"Gap Between "&amp;TEXT(EOMONTH(BeginDate,12),"mmm yyy")&amp;" and "&amp;TEXT(EOMONTH(BeginDate,13),"mmm yyy")</f>
        <v>Gap Between Dec 2022 and Jan 2023</v>
      </c>
      <c r="J32" s="2">
        <f>VLOOKUP(DataID,DataRange,Data!S$2,FALSE)-VLOOKUP(DataID,DataRange,Data!Q$2,FALSE)</f>
        <v>0</v>
      </c>
      <c r="K32">
        <f>IFERROR(_xlfn.CONCAT("&lt;-- Gap Equal to ",TEXT(-(J32*RateVolData!D8)/AVERAGE(Data!$E$12:$Q$12),"0.00%")," ROA"),0)</f>
        <v>0</v>
      </c>
    </row>
    <row r="33" spans="2:14" x14ac:dyDescent="0.25">
      <c r="D33" t="str">
        <f>"Average Cost in "&amp;TEXT(EOMONTH(BeginDate,12),"yyy")</f>
        <v>Average Cost in 2022</v>
      </c>
      <c r="J33" s="61">
        <f>VLOOKUP(DataID,DataRange,Data!$AF$2,FALSE)</f>
        <v>0</v>
      </c>
    </row>
    <row r="34" spans="2:14" x14ac:dyDescent="0.25">
      <c r="D34" t="str">
        <f>"Budget Cost in "&amp;TEXT(EOMONTH(BeginDate,24),"yyy")</f>
        <v>Budget Cost in 2023</v>
      </c>
      <c r="J34" s="61">
        <f>VLOOKUP(DataID,DataRange,Data!$AG$2,FALSE)</f>
        <v>0</v>
      </c>
    </row>
    <row r="35" spans="2:14" x14ac:dyDescent="0.25">
      <c r="D35" t="s">
        <v>106</v>
      </c>
      <c r="J35" s="61">
        <f>VLOOKUP(DataID,DataRange,Data!$AH$2,FALSE)</f>
        <v>0</v>
      </c>
      <c r="K35" t="str">
        <f>IFERROR(_xlfn.CONCAT("&lt;-- Produces ",TEXT(ROUND(ABS(VLOOKUP(DataID,RateVolData!$A:$K,11,FALSE))*1000,-3),"$#,##0")," Earnings ",IF(VLOOKUP(DataID,RateVolData!$A:$K,11,FALSE)&gt;=0,"Lift","Drag")),"")</f>
        <v>&lt;-- Produces $0 Earnings Lift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98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53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 t="s">
        <v>54</v>
      </c>
      <c r="C75" s="29">
        <f>IF(ShowAvg=FALSE,"",VLOOKUP(DataID,DataRange,Data!AF$2,FALSE))</f>
        <v>0</v>
      </c>
      <c r="D75" s="29">
        <f t="shared" ref="D75:N75" si="1">C75</f>
        <v>0</v>
      </c>
      <c r="E75" s="29">
        <f t="shared" si="1"/>
        <v>0</v>
      </c>
      <c r="F75" s="29">
        <f t="shared" si="1"/>
        <v>0</v>
      </c>
      <c r="G75" s="29">
        <f t="shared" si="1"/>
        <v>0</v>
      </c>
      <c r="H75" s="29">
        <f t="shared" si="1"/>
        <v>0</v>
      </c>
      <c r="I75" s="29">
        <f t="shared" si="1"/>
        <v>0</v>
      </c>
      <c r="J75" s="29">
        <f t="shared" si="1"/>
        <v>0</v>
      </c>
      <c r="K75" s="29">
        <f t="shared" si="1"/>
        <v>0</v>
      </c>
      <c r="L75" s="29">
        <f t="shared" si="1"/>
        <v>0</v>
      </c>
      <c r="M75" s="29">
        <f t="shared" si="1"/>
        <v>0</v>
      </c>
      <c r="N75" s="29">
        <f t="shared" si="1"/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 t="s">
        <v>55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f>IF(ShowAvg=FALSE,"",VLOOKUP(DataID,DataRange,Data!AG$2,FALSE))</f>
        <v>0</v>
      </c>
      <c r="P76" s="29">
        <f>O76</f>
        <v>0</v>
      </c>
      <c r="Q76" s="29">
        <f t="shared" ref="Q76:Z76" si="2">P76</f>
        <v>0</v>
      </c>
      <c r="R76" s="29">
        <f t="shared" si="2"/>
        <v>0</v>
      </c>
      <c r="S76" s="29">
        <f t="shared" si="2"/>
        <v>0</v>
      </c>
      <c r="T76" s="29">
        <f t="shared" si="2"/>
        <v>0</v>
      </c>
      <c r="U76" s="29">
        <f t="shared" si="2"/>
        <v>0</v>
      </c>
      <c r="V76" s="29">
        <f t="shared" si="2"/>
        <v>0</v>
      </c>
      <c r="W76" s="29">
        <f t="shared" si="2"/>
        <v>0</v>
      </c>
      <c r="X76" s="29">
        <f t="shared" si="2"/>
        <v>0</v>
      </c>
      <c r="Y76" s="29">
        <f t="shared" si="2"/>
        <v>0</v>
      </c>
      <c r="Z76" s="29">
        <f t="shared" si="2"/>
        <v>0</v>
      </c>
    </row>
    <row r="78" spans="2:26" x14ac:dyDescent="0.25">
      <c r="B78" t="str">
        <f>VLOOKUP(DataID,DataRange,Data!$C$2,FALSE)</f>
        <v>Cost of Relationship Deposits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Cost of Relationship Deposits;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45A5-F5C6-4341-ADF1-36381AF6D13E}">
  <sheetPr codeName="Sheet30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"Gap Between "&amp;TEXT(EOMONTH(BeginDate,12),"mmm yyy")&amp;" and "&amp;TEXT(EOMONTH(BeginDate,13),"mmm yyy")</f>
        <v>Gap Between Dec 2022 and Jan 2023</v>
      </c>
      <c r="J32" s="2">
        <f>VLOOKUP(DataID,DataRange,Data!S$2,FALSE)-VLOOKUP(DataID,DataRange,Data!Q$2,FALSE)</f>
        <v>0</v>
      </c>
      <c r="K32">
        <f>IFERROR(_xlfn.CONCAT("&lt;-- Gap Equal to ",TEXT(-(J32*RateVolData!D9)/AVERAGE(Data!$E$12:$Q$12),"0.00%")," ROA"),0)</f>
        <v>0</v>
      </c>
    </row>
    <row r="33" spans="2:14" x14ac:dyDescent="0.25">
      <c r="D33" t="str">
        <f>"Average Cost in "&amp;TEXT(EOMONTH(BeginDate,12),"yyy")</f>
        <v>Average Cost in 2022</v>
      </c>
      <c r="J33" s="61">
        <f>VLOOKUP(DataID,DataRange,Data!$AF$2,FALSE)</f>
        <v>0</v>
      </c>
    </row>
    <row r="34" spans="2:14" x14ac:dyDescent="0.25">
      <c r="D34" t="str">
        <f>"Budget Cost in "&amp;TEXT(EOMONTH(BeginDate,24),"yyy")</f>
        <v>Budget Cost in 2023</v>
      </c>
      <c r="J34" s="61">
        <f>VLOOKUP(DataID,DataRange,Data!$AG$2,FALSE)</f>
        <v>0</v>
      </c>
    </row>
    <row r="35" spans="2:14" x14ac:dyDescent="0.25">
      <c r="D35" t="s">
        <v>106</v>
      </c>
      <c r="J35" s="61">
        <f>VLOOKUP(DataID,DataRange,Data!$AH$2,FALSE)</f>
        <v>0</v>
      </c>
      <c r="K35" t="str">
        <f>IFERROR(_xlfn.CONCAT("&lt;-- Produces ",TEXT(ROUND(ABS(VLOOKUP(DataID,RateVolData!$A:$K,11,FALSE))*1000,-3),"$#,##0")," Earnings ",IF(VLOOKUP(DataID,RateVolData!$A:$K,11,FALSE)&gt;=0,"Lift","Drag")),"")</f>
        <v>&lt;-- Produces $0 Earnings Lift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99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53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 t="s">
        <v>54</v>
      </c>
      <c r="C75" s="29">
        <f>IF(ShowAvg=FALSE,"",VLOOKUP(DataID,DataRange,Data!AF$2,FALSE))</f>
        <v>0</v>
      </c>
      <c r="D75" s="29">
        <f t="shared" ref="D75:N75" si="1">C75</f>
        <v>0</v>
      </c>
      <c r="E75" s="29">
        <f t="shared" si="1"/>
        <v>0</v>
      </c>
      <c r="F75" s="29">
        <f t="shared" si="1"/>
        <v>0</v>
      </c>
      <c r="G75" s="29">
        <f t="shared" si="1"/>
        <v>0</v>
      </c>
      <c r="H75" s="29">
        <f t="shared" si="1"/>
        <v>0</v>
      </c>
      <c r="I75" s="29">
        <f t="shared" si="1"/>
        <v>0</v>
      </c>
      <c r="J75" s="29">
        <f t="shared" si="1"/>
        <v>0</v>
      </c>
      <c r="K75" s="29">
        <f t="shared" si="1"/>
        <v>0</v>
      </c>
      <c r="L75" s="29">
        <f t="shared" si="1"/>
        <v>0</v>
      </c>
      <c r="M75" s="29">
        <f t="shared" si="1"/>
        <v>0</v>
      </c>
      <c r="N75" s="29">
        <f t="shared" si="1"/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 t="s">
        <v>55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f>IF(ShowAvg=FALSE,"",VLOOKUP(DataID,DataRange,Data!AG$2,FALSE))</f>
        <v>0</v>
      </c>
      <c r="P76" s="29">
        <f>O76</f>
        <v>0</v>
      </c>
      <c r="Q76" s="29">
        <f t="shared" ref="Q76:Z76" si="2">P76</f>
        <v>0</v>
      </c>
      <c r="R76" s="29">
        <f t="shared" si="2"/>
        <v>0</v>
      </c>
      <c r="S76" s="29">
        <f t="shared" si="2"/>
        <v>0</v>
      </c>
      <c r="T76" s="29">
        <f t="shared" si="2"/>
        <v>0</v>
      </c>
      <c r="U76" s="29">
        <f t="shared" si="2"/>
        <v>0</v>
      </c>
      <c r="V76" s="29">
        <f t="shared" si="2"/>
        <v>0</v>
      </c>
      <c r="W76" s="29">
        <f t="shared" si="2"/>
        <v>0</v>
      </c>
      <c r="X76" s="29">
        <f t="shared" si="2"/>
        <v>0</v>
      </c>
      <c r="Y76" s="29">
        <f t="shared" si="2"/>
        <v>0</v>
      </c>
      <c r="Z76" s="29">
        <f t="shared" si="2"/>
        <v>0</v>
      </c>
    </row>
    <row r="78" spans="2:26" x14ac:dyDescent="0.25">
      <c r="B78" t="str">
        <f>VLOOKUP(DataID,DataRange,Data!$C$2,FALSE)</f>
        <v>Cost of Rate Sensitive Funds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Cost of Rate Sensitive Funds;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990E-0A7E-4D14-AA58-3F6C765F7E8A}">
  <sheetPr codeName="Sheet31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"Gap Between "&amp;TEXT(EOMONTH(BeginDate,12),"mmm yyy")&amp;" and "&amp;TEXT(EOMONTH(BeginDate,13),"mmm yyy")</f>
        <v>Gap Between Dec 2022 and Jan 2023</v>
      </c>
      <c r="J32" s="2">
        <f>VLOOKUP(DataID,DataRange,Data!S$2,FALSE)-VLOOKUP(DataID,DataRange,Data!Q$2,FALSE)</f>
        <v>0</v>
      </c>
    </row>
    <row r="33" spans="2:14" x14ac:dyDescent="0.25">
      <c r="D33" t="str">
        <f>"Average Net Interest Margin in "&amp;TEXT(EOMONTH(BeginDate,12),"yyy")</f>
        <v>Average Net Interest Margin in 2022</v>
      </c>
      <c r="J33" s="61">
        <f>VLOOKUP(DataID,DataRange,Data!$AF$2,FALSE)</f>
        <v>0</v>
      </c>
    </row>
    <row r="34" spans="2:14" x14ac:dyDescent="0.25">
      <c r="D34" t="str">
        <f>"Budget Net Interest Margin in "&amp;TEXT(EOMONTH(BeginDate,24),"yyy")</f>
        <v>Budget Net Interest Margin in 2023</v>
      </c>
      <c r="J34" s="61">
        <f>VLOOKUP(DataID,DataRange,Data!$AG$2,FALSE)</f>
        <v>0</v>
      </c>
    </row>
    <row r="35" spans="2:14" x14ac:dyDescent="0.25">
      <c r="D35" t="s">
        <v>107</v>
      </c>
      <c r="J35" s="61">
        <f>VLOOKUP(DataID,DataRange,Data!$AH$2,FALSE)</f>
        <v>0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100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53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 t="s">
        <v>54</v>
      </c>
      <c r="C75" s="29">
        <f>IF(ShowAvg=FALSE,"",VLOOKUP(DataID,DataRange,Data!AF$2,FALSE))</f>
        <v>0</v>
      </c>
      <c r="D75" s="29">
        <f t="shared" ref="D75:N75" si="1">C75</f>
        <v>0</v>
      </c>
      <c r="E75" s="29">
        <f t="shared" si="1"/>
        <v>0</v>
      </c>
      <c r="F75" s="29">
        <f t="shared" si="1"/>
        <v>0</v>
      </c>
      <c r="G75" s="29">
        <f t="shared" si="1"/>
        <v>0</v>
      </c>
      <c r="H75" s="29">
        <f t="shared" si="1"/>
        <v>0</v>
      </c>
      <c r="I75" s="29">
        <f t="shared" si="1"/>
        <v>0</v>
      </c>
      <c r="J75" s="29">
        <f t="shared" si="1"/>
        <v>0</v>
      </c>
      <c r="K75" s="29">
        <f t="shared" si="1"/>
        <v>0</v>
      </c>
      <c r="L75" s="29">
        <f t="shared" si="1"/>
        <v>0</v>
      </c>
      <c r="M75" s="29">
        <f t="shared" si="1"/>
        <v>0</v>
      </c>
      <c r="N75" s="29">
        <f t="shared" si="1"/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 t="s">
        <v>55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f>IF(ShowAvg=FALSE,"",VLOOKUP(DataID,DataRange,Data!AG$2,FALSE))</f>
        <v>0</v>
      </c>
      <c r="P76" s="29">
        <f>O76</f>
        <v>0</v>
      </c>
      <c r="Q76" s="29">
        <f t="shared" ref="Q76:Z76" si="2">P76</f>
        <v>0</v>
      </c>
      <c r="R76" s="29">
        <f t="shared" si="2"/>
        <v>0</v>
      </c>
      <c r="S76" s="29">
        <f t="shared" si="2"/>
        <v>0</v>
      </c>
      <c r="T76" s="29">
        <f t="shared" si="2"/>
        <v>0</v>
      </c>
      <c r="U76" s="29">
        <f t="shared" si="2"/>
        <v>0</v>
      </c>
      <c r="V76" s="29">
        <f t="shared" si="2"/>
        <v>0</v>
      </c>
      <c r="W76" s="29">
        <f t="shared" si="2"/>
        <v>0</v>
      </c>
      <c r="X76" s="29">
        <f t="shared" si="2"/>
        <v>0</v>
      </c>
      <c r="Y76" s="29">
        <f t="shared" si="2"/>
        <v>0</v>
      </c>
      <c r="Z76" s="29">
        <f t="shared" si="2"/>
        <v>0</v>
      </c>
    </row>
    <row r="78" spans="2:26" x14ac:dyDescent="0.25">
      <c r="B78" t="str">
        <f>VLOOKUP(DataID,DataRange,Data!$C$2,FALSE)</f>
        <v>Net Interest Margin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Net Interest Margin;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13E3-1B1D-48C4-98AE-61BBA6B738AE}">
  <sheetPr codeName="Sheet32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B78&amp;" in "&amp;TEXT(EOMONTH(BeginDate,12),"yyy")</f>
        <v>Non-Interest Income in 2022</v>
      </c>
      <c r="J32" s="64">
        <f>VLOOKUP(DataID,DataRange,Data!$AF$2,FALSE)</f>
        <v>0</v>
      </c>
    </row>
    <row r="33" spans="2:14" x14ac:dyDescent="0.25">
      <c r="D33" t="str">
        <f>"Budget "&amp;B78&amp;" in "&amp;TEXT(EOMONTH(BeginDate,24),"yyy")</f>
        <v>Budget Non-Interest Income in 2023</v>
      </c>
      <c r="J33" s="64">
        <f>VLOOKUP(DataID,DataRange,Data!$AG$2,FALSE)</f>
        <v>0</v>
      </c>
    </row>
    <row r="34" spans="2:14" x14ac:dyDescent="0.25">
      <c r="D34" t="str">
        <f>"Change in "&amp;B78</f>
        <v>Change in Non-Interest Income</v>
      </c>
      <c r="I34" s="1">
        <f>IFERROR(J34/J32,0)</f>
        <v>0</v>
      </c>
      <c r="J34" s="64">
        <f>VLOOKUP(DataID,DataRange,Data!$AH$2,FALSE)</f>
        <v>0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79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122</v>
      </c>
      <c r="C73" s="62">
        <f>IF(ShowEnd=FALSE,"",VLOOKUP(DataID,DataRange,Data!F$2,FALSE))</f>
        <v>0</v>
      </c>
      <c r="D73" s="62">
        <f>IF(ShowEnd=FALSE,"",VLOOKUP(DataID,DataRange,Data!G$2,FALSE))</f>
        <v>0</v>
      </c>
      <c r="E73" s="62">
        <f>IF(ShowEnd=FALSE,"",VLOOKUP(DataID,DataRange,Data!H$2,FALSE))</f>
        <v>0</v>
      </c>
      <c r="F73" s="62">
        <f>IF(ShowEnd=FALSE,"",VLOOKUP(DataID,DataRange,Data!I$2,FALSE))</f>
        <v>0</v>
      </c>
      <c r="G73" s="62">
        <f>IF(ShowEnd=FALSE,"",VLOOKUP(DataID,DataRange,Data!J$2,FALSE))</f>
        <v>0</v>
      </c>
      <c r="H73" s="62">
        <f>IF(ShowEnd=FALSE,"",VLOOKUP(DataID,DataRange,Data!K$2,FALSE))</f>
        <v>0</v>
      </c>
      <c r="I73" s="62">
        <f>IF(ShowEnd=FALSE,"",VLOOKUP(DataID,DataRange,Data!L$2,FALSE))</f>
        <v>0</v>
      </c>
      <c r="J73" s="62">
        <f>IF(ShowEnd=FALSE,"",VLOOKUP(DataID,DataRange,Data!M$2,FALSE))</f>
        <v>0</v>
      </c>
      <c r="K73" s="62">
        <f>IF(ShowEnd=FALSE,"",VLOOKUP(DataID,DataRange,Data!N$2,FALSE))</f>
        <v>0</v>
      </c>
      <c r="L73" s="62">
        <f>IF(ShowEnd=FALSE,"",VLOOKUP(DataID,DataRange,Data!O$2,FALSE))</f>
        <v>0</v>
      </c>
      <c r="M73" s="62">
        <f>IF(ShowEnd=FALSE,"",VLOOKUP(DataID,DataRange,Data!P$2,FALSE))</f>
        <v>0</v>
      </c>
      <c r="N73" s="62">
        <f>IF(ShowEnd=FALSE,"",VLOOKUP(DataID,DataRange,Data!Q$2,FALSE))</f>
        <v>0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2:26" x14ac:dyDescent="0.25">
      <c r="B74" s="27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>IF(ShowEnd=FALSE,"",VLOOKUP(DataID,DataRange,Data!S$2,FALSE))</f>
        <v>0</v>
      </c>
      <c r="P74" s="62">
        <f>IF(ShowEnd=FALSE,"",VLOOKUP(DataID,DataRange,Data!T$2,FALSE))</f>
        <v>0</v>
      </c>
      <c r="Q74" s="62">
        <f>IF(ShowEnd=FALSE,"",VLOOKUP(DataID,DataRange,Data!U$2,FALSE))</f>
        <v>0</v>
      </c>
      <c r="R74" s="62">
        <f>IF(ShowEnd=FALSE,"",VLOOKUP(DataID,DataRange,Data!V$2,FALSE))</f>
        <v>0</v>
      </c>
      <c r="S74" s="62">
        <f>IF(ShowEnd=FALSE,"",VLOOKUP(DataID,DataRange,Data!W$2,FALSE))</f>
        <v>0</v>
      </c>
      <c r="T74" s="62">
        <f>IF(ShowEnd=FALSE,"",VLOOKUP(DataID,DataRange,Data!X$2,FALSE))</f>
        <v>0</v>
      </c>
      <c r="U74" s="62">
        <f>IF(ShowEnd=FALSE,"",VLOOKUP(DataID,DataRange,Data!Y$2,FALSE))</f>
        <v>0</v>
      </c>
      <c r="V74" s="62">
        <f>IF(ShowEnd=FALSE,"",VLOOKUP(DataID,DataRange,Data!Z$2,FALSE))</f>
        <v>0</v>
      </c>
      <c r="W74" s="62">
        <f>IF(ShowEnd=FALSE,"",VLOOKUP(DataID,DataRange,Data!AA$2,FALSE))</f>
        <v>0</v>
      </c>
      <c r="X74" s="62">
        <f>IF(ShowEnd=FALSE,"",VLOOKUP(DataID,DataRange,Data!AB$2,FALSE))</f>
        <v>0</v>
      </c>
      <c r="Y74" s="62">
        <f>IF(ShowEnd=FALSE,"",VLOOKUP(DataID,DataRange,Data!AC$2,FALSE))</f>
        <v>0</v>
      </c>
      <c r="Z74" s="62">
        <f>IF(ShowEnd=FALSE,"",VLOOKUP(DataID,DataRange,Data!AD$2,FALSE))</f>
        <v>0</v>
      </c>
    </row>
    <row r="75" spans="2:26" x14ac:dyDescent="0.25">
      <c r="B75" s="27" t="s">
        <v>119</v>
      </c>
      <c r="C75" s="62">
        <f>IF(ShowAvg=FALSE,"",VLOOKUP(DataID,DataRange,Data!AF$2,FALSE)/12)</f>
        <v>0</v>
      </c>
      <c r="D75" s="62">
        <f t="shared" ref="D75:N75" si="1">C75</f>
        <v>0</v>
      </c>
      <c r="E75" s="62">
        <f t="shared" si="1"/>
        <v>0</v>
      </c>
      <c r="F75" s="62">
        <f t="shared" si="1"/>
        <v>0</v>
      </c>
      <c r="G75" s="62">
        <f t="shared" si="1"/>
        <v>0</v>
      </c>
      <c r="H75" s="62">
        <f t="shared" si="1"/>
        <v>0</v>
      </c>
      <c r="I75" s="62">
        <f t="shared" si="1"/>
        <v>0</v>
      </c>
      <c r="J75" s="62">
        <f t="shared" si="1"/>
        <v>0</v>
      </c>
      <c r="K75" s="62">
        <f t="shared" si="1"/>
        <v>0</v>
      </c>
      <c r="L75" s="62">
        <f t="shared" si="1"/>
        <v>0</v>
      </c>
      <c r="M75" s="62">
        <f t="shared" si="1"/>
        <v>0</v>
      </c>
      <c r="N75" s="62">
        <f t="shared" si="1"/>
        <v>0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2:26" x14ac:dyDescent="0.25">
      <c r="B76" s="27" t="s">
        <v>120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>IF(ShowAvg=FALSE,"",VLOOKUP(DataID,DataRange,Data!AG$2,FALSE)/12)</f>
        <v>0</v>
      </c>
      <c r="P76" s="62">
        <f>O76</f>
        <v>0</v>
      </c>
      <c r="Q76" s="62">
        <f t="shared" ref="Q76:Z76" si="2">P76</f>
        <v>0</v>
      </c>
      <c r="R76" s="62">
        <f t="shared" si="2"/>
        <v>0</v>
      </c>
      <c r="S76" s="62">
        <f t="shared" si="2"/>
        <v>0</v>
      </c>
      <c r="T76" s="62">
        <f t="shared" si="2"/>
        <v>0</v>
      </c>
      <c r="U76" s="62">
        <f t="shared" si="2"/>
        <v>0</v>
      </c>
      <c r="V76" s="62">
        <f t="shared" si="2"/>
        <v>0</v>
      </c>
      <c r="W76" s="62">
        <f t="shared" si="2"/>
        <v>0</v>
      </c>
      <c r="X76" s="62">
        <f t="shared" si="2"/>
        <v>0</v>
      </c>
      <c r="Y76" s="62">
        <f t="shared" si="2"/>
        <v>0</v>
      </c>
      <c r="Z76" s="62">
        <f t="shared" si="2"/>
        <v>0</v>
      </c>
    </row>
    <row r="78" spans="2:26" x14ac:dyDescent="0.25">
      <c r="B78" t="str">
        <f>VLOOKUP(DataID,DataRange,Data!$C$2,FALSE)</f>
        <v>Non-Interest Income</v>
      </c>
    </row>
    <row r="79" spans="2:26" x14ac:dyDescent="0.25">
      <c r="B79" s="27" t="s">
        <v>85</v>
      </c>
    </row>
    <row r="80" spans="2:26" x14ac:dyDescent="0.25">
      <c r="B80" t="s">
        <v>123</v>
      </c>
    </row>
    <row r="81" spans="2:6" x14ac:dyDescent="0.25">
      <c r="B81" t="str">
        <f>IF(ShowAvg=FALSE,_xlfn.CONCAT(B78,B79),_xlfn.CONCAT(B78,B79,B80))</f>
        <v>Non-Interest Income (000s); Shaded Area = Monthly Avg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3">
        <f>MIN(C73:Z76)</f>
        <v>0</v>
      </c>
      <c r="C86" s="58">
        <v>0.9</v>
      </c>
      <c r="D86" s="53">
        <v>2</v>
      </c>
      <c r="E86" s="63">
        <f>ROUNDDOWN(B86*C86,-D86)</f>
        <v>0</v>
      </c>
      <c r="F86" t="s">
        <v>90</v>
      </c>
    </row>
    <row r="87" spans="2:6" x14ac:dyDescent="0.25">
      <c r="B87" s="63">
        <f>MAX(C73:Z76)</f>
        <v>0</v>
      </c>
      <c r="C87" s="58">
        <v>1.1000000000000001</v>
      </c>
      <c r="D87" s="53">
        <v>2</v>
      </c>
      <c r="E87" s="63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11</xdr:col>
                    <xdr:colOff>457200</xdr:colOff>
                    <xdr:row>0</xdr:row>
                    <xdr:rowOff>57150</xdr:rowOff>
                  </from>
                  <to>
                    <xdr:col>14</xdr:col>
                    <xdr:colOff>9525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8</xdr:col>
                    <xdr:colOff>514350</xdr:colOff>
                    <xdr:row>0</xdr:row>
                    <xdr:rowOff>57150</xdr:rowOff>
                  </from>
                  <to>
                    <xdr:col>11</xdr:col>
                    <xdr:colOff>161925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Button 3">
              <controlPr defaultSize="0" print="0" autoFill="0" autoPict="0" macro="[0]!ScaleChart">
                <anchor moveWithCells="1">
                  <from>
                    <xdr:col>6</xdr:col>
                    <xdr:colOff>523875</xdr:colOff>
                    <xdr:row>0</xdr:row>
                    <xdr:rowOff>57150</xdr:rowOff>
                  </from>
                  <to>
                    <xdr:col>8</xdr:col>
                    <xdr:colOff>209550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2488-CCC8-4BF1-92F2-C361C8A70EC2}">
  <sheetPr codeName="Sheet33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B78&amp;" in "&amp;TEXT(EOMONTH(BeginDate,12),"yyy")</f>
        <v>Non-Interest Expense in 2022</v>
      </c>
      <c r="J32" s="64">
        <f>VLOOKUP(DataID,DataRange,Data!$AF$2,FALSE)</f>
        <v>0</v>
      </c>
    </row>
    <row r="33" spans="2:14" x14ac:dyDescent="0.25">
      <c r="D33" t="str">
        <f>"Budget "&amp;B78&amp;" in "&amp;TEXT(EOMONTH(BeginDate,24),"yyy")</f>
        <v>Budget Non-Interest Expense in 2023</v>
      </c>
      <c r="J33" s="64">
        <f>VLOOKUP(DataID,DataRange,Data!$AG$2,FALSE)</f>
        <v>0</v>
      </c>
    </row>
    <row r="34" spans="2:14" x14ac:dyDescent="0.25">
      <c r="D34" t="str">
        <f>"Change in "&amp;B78</f>
        <v>Change in Non-Interest Expense</v>
      </c>
      <c r="I34" s="1">
        <f>IFERROR(J34/J32,0)</f>
        <v>0</v>
      </c>
      <c r="J34" s="64">
        <f>VLOOKUP(DataID,DataRange,Data!$AH$2,FALSE)</f>
        <v>0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80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122</v>
      </c>
      <c r="C73" s="62">
        <f>IF(ShowEnd=FALSE,"",VLOOKUP(DataID,DataRange,Data!F$2,FALSE))</f>
        <v>0</v>
      </c>
      <c r="D73" s="62">
        <f>IF(ShowEnd=FALSE,"",VLOOKUP(DataID,DataRange,Data!G$2,FALSE))</f>
        <v>0</v>
      </c>
      <c r="E73" s="62">
        <f>IF(ShowEnd=FALSE,"",VLOOKUP(DataID,DataRange,Data!H$2,FALSE))</f>
        <v>0</v>
      </c>
      <c r="F73" s="62">
        <f>IF(ShowEnd=FALSE,"",VLOOKUP(DataID,DataRange,Data!I$2,FALSE))</f>
        <v>0</v>
      </c>
      <c r="G73" s="62">
        <f>IF(ShowEnd=FALSE,"",VLOOKUP(DataID,DataRange,Data!J$2,FALSE))</f>
        <v>0</v>
      </c>
      <c r="H73" s="62">
        <f>IF(ShowEnd=FALSE,"",VLOOKUP(DataID,DataRange,Data!K$2,FALSE))</f>
        <v>0</v>
      </c>
      <c r="I73" s="62">
        <f>IF(ShowEnd=FALSE,"",VLOOKUP(DataID,DataRange,Data!L$2,FALSE))</f>
        <v>0</v>
      </c>
      <c r="J73" s="62">
        <f>IF(ShowEnd=FALSE,"",VLOOKUP(DataID,DataRange,Data!M$2,FALSE))</f>
        <v>0</v>
      </c>
      <c r="K73" s="62">
        <f>IF(ShowEnd=FALSE,"",VLOOKUP(DataID,DataRange,Data!N$2,FALSE))</f>
        <v>0</v>
      </c>
      <c r="L73" s="62">
        <f>IF(ShowEnd=FALSE,"",VLOOKUP(DataID,DataRange,Data!O$2,FALSE))</f>
        <v>0</v>
      </c>
      <c r="M73" s="62">
        <f>IF(ShowEnd=FALSE,"",VLOOKUP(DataID,DataRange,Data!P$2,FALSE))</f>
        <v>0</v>
      </c>
      <c r="N73" s="62">
        <f>IF(ShowEnd=FALSE,"",VLOOKUP(DataID,DataRange,Data!Q$2,FALSE))</f>
        <v>0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2:26" x14ac:dyDescent="0.25">
      <c r="B74" s="27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>IF(ShowEnd=FALSE,"",VLOOKUP(DataID,DataRange,Data!S$2,FALSE))</f>
        <v>0</v>
      </c>
      <c r="P74" s="62">
        <f>IF(ShowEnd=FALSE,"",VLOOKUP(DataID,DataRange,Data!T$2,FALSE))</f>
        <v>0</v>
      </c>
      <c r="Q74" s="62">
        <f>IF(ShowEnd=FALSE,"",VLOOKUP(DataID,DataRange,Data!U$2,FALSE))</f>
        <v>0</v>
      </c>
      <c r="R74" s="62">
        <f>IF(ShowEnd=FALSE,"",VLOOKUP(DataID,DataRange,Data!V$2,FALSE))</f>
        <v>0</v>
      </c>
      <c r="S74" s="62">
        <f>IF(ShowEnd=FALSE,"",VLOOKUP(DataID,DataRange,Data!W$2,FALSE))</f>
        <v>0</v>
      </c>
      <c r="T74" s="62">
        <f>IF(ShowEnd=FALSE,"",VLOOKUP(DataID,DataRange,Data!X$2,FALSE))</f>
        <v>0</v>
      </c>
      <c r="U74" s="62">
        <f>IF(ShowEnd=FALSE,"",VLOOKUP(DataID,DataRange,Data!Y$2,FALSE))</f>
        <v>0</v>
      </c>
      <c r="V74" s="62">
        <f>IF(ShowEnd=FALSE,"",VLOOKUP(DataID,DataRange,Data!Z$2,FALSE))</f>
        <v>0</v>
      </c>
      <c r="W74" s="62">
        <f>IF(ShowEnd=FALSE,"",VLOOKUP(DataID,DataRange,Data!AA$2,FALSE))</f>
        <v>0</v>
      </c>
      <c r="X74" s="62">
        <f>IF(ShowEnd=FALSE,"",VLOOKUP(DataID,DataRange,Data!AB$2,FALSE))</f>
        <v>0</v>
      </c>
      <c r="Y74" s="62">
        <f>IF(ShowEnd=FALSE,"",VLOOKUP(DataID,DataRange,Data!AC$2,FALSE))</f>
        <v>0</v>
      </c>
      <c r="Z74" s="62">
        <f>IF(ShowEnd=FALSE,"",VLOOKUP(DataID,DataRange,Data!AD$2,FALSE))</f>
        <v>0</v>
      </c>
    </row>
    <row r="75" spans="2:26" x14ac:dyDescent="0.25">
      <c r="B75" s="27" t="s">
        <v>119</v>
      </c>
      <c r="C75" s="62">
        <f>IF(ShowAvg=FALSE,"",VLOOKUP(DataID,DataRange,Data!AF$2,FALSE)/12)</f>
        <v>0</v>
      </c>
      <c r="D75" s="62">
        <f t="shared" ref="D75:N75" si="1">C75</f>
        <v>0</v>
      </c>
      <c r="E75" s="62">
        <f t="shared" si="1"/>
        <v>0</v>
      </c>
      <c r="F75" s="62">
        <f t="shared" si="1"/>
        <v>0</v>
      </c>
      <c r="G75" s="62">
        <f t="shared" si="1"/>
        <v>0</v>
      </c>
      <c r="H75" s="62">
        <f t="shared" si="1"/>
        <v>0</v>
      </c>
      <c r="I75" s="62">
        <f t="shared" si="1"/>
        <v>0</v>
      </c>
      <c r="J75" s="62">
        <f t="shared" si="1"/>
        <v>0</v>
      </c>
      <c r="K75" s="62">
        <f t="shared" si="1"/>
        <v>0</v>
      </c>
      <c r="L75" s="62">
        <f t="shared" si="1"/>
        <v>0</v>
      </c>
      <c r="M75" s="62">
        <f t="shared" si="1"/>
        <v>0</v>
      </c>
      <c r="N75" s="62">
        <f t="shared" si="1"/>
        <v>0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2:26" x14ac:dyDescent="0.25">
      <c r="B76" s="27" t="s">
        <v>120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>IF(ShowAvg=FALSE,"",VLOOKUP(DataID,DataRange,Data!AG$2,FALSE)/12)</f>
        <v>0</v>
      </c>
      <c r="P76" s="62">
        <f>O76</f>
        <v>0</v>
      </c>
      <c r="Q76" s="62">
        <f t="shared" ref="Q76:Z76" si="2">P76</f>
        <v>0</v>
      </c>
      <c r="R76" s="62">
        <f t="shared" si="2"/>
        <v>0</v>
      </c>
      <c r="S76" s="62">
        <f t="shared" si="2"/>
        <v>0</v>
      </c>
      <c r="T76" s="62">
        <f t="shared" si="2"/>
        <v>0</v>
      </c>
      <c r="U76" s="62">
        <f t="shared" si="2"/>
        <v>0</v>
      </c>
      <c r="V76" s="62">
        <f t="shared" si="2"/>
        <v>0</v>
      </c>
      <c r="W76" s="62">
        <f t="shared" si="2"/>
        <v>0</v>
      </c>
      <c r="X76" s="62">
        <f t="shared" si="2"/>
        <v>0</v>
      </c>
      <c r="Y76" s="62">
        <f t="shared" si="2"/>
        <v>0</v>
      </c>
      <c r="Z76" s="62">
        <f t="shared" si="2"/>
        <v>0</v>
      </c>
    </row>
    <row r="78" spans="2:26" x14ac:dyDescent="0.25">
      <c r="B78" t="str">
        <f>VLOOKUP(DataID,DataRange,Data!$C$2,FALSE)</f>
        <v>Non-Interest Expense</v>
      </c>
    </row>
    <row r="79" spans="2:26" x14ac:dyDescent="0.25">
      <c r="B79" s="27" t="s">
        <v>85</v>
      </c>
    </row>
    <row r="80" spans="2:26" x14ac:dyDescent="0.25">
      <c r="B80" t="s">
        <v>123</v>
      </c>
    </row>
    <row r="81" spans="2:6" x14ac:dyDescent="0.25">
      <c r="B81" t="str">
        <f>IF(ShowAvg=FALSE,_xlfn.CONCAT(B78,B79),_xlfn.CONCAT(B78,B79,B80))</f>
        <v>Non-Interest Expense (000s); Shaded Area = Monthly Avg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3">
        <f>MIN(C73:Z76)</f>
        <v>0</v>
      </c>
      <c r="C86" s="58">
        <v>0.9</v>
      </c>
      <c r="D86" s="53">
        <v>2</v>
      </c>
      <c r="E86" s="63">
        <f>ROUNDDOWN(B86*C86,-D86)</f>
        <v>0</v>
      </c>
      <c r="F86" t="s">
        <v>90</v>
      </c>
    </row>
    <row r="87" spans="2:6" x14ac:dyDescent="0.25">
      <c r="B87" s="63">
        <f>MAX(C73:Z76)</f>
        <v>0</v>
      </c>
      <c r="C87" s="58">
        <v>1.1000000000000001</v>
      </c>
      <c r="D87" s="53">
        <v>2</v>
      </c>
      <c r="E87" s="63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C17A-FC20-4581-960D-D5EC9D8B1A78}">
  <sheetPr codeName="Sheet37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"Average Efficiency in "&amp;TEXT(EOMONTH(BeginDate,12),"yyy")</f>
        <v>Average Efficiency in 2022</v>
      </c>
      <c r="J32" s="56">
        <f>VLOOKUP(DataID,DataRange,Data!$AF$2,FALSE)</f>
        <v>0</v>
      </c>
    </row>
    <row r="33" spans="2:14" x14ac:dyDescent="0.25">
      <c r="D33" t="str">
        <f>"Budget Efficiency in "&amp;TEXT(EOMONTH(BeginDate,24),"yyy")</f>
        <v>Budget Efficiency in 2023</v>
      </c>
      <c r="J33" s="56">
        <f>VLOOKUP(DataID,DataRange,Data!$AG$2,FALSE)</f>
        <v>0</v>
      </c>
    </row>
    <row r="34" spans="2:14" x14ac:dyDescent="0.25">
      <c r="D34" t="s">
        <v>143</v>
      </c>
      <c r="J34" s="56">
        <f>VLOOKUP(DataID,DataRange,Data!$AH$2,FALSE)</f>
        <v>0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129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139</v>
      </c>
      <c r="C73" s="66">
        <f>IF(ShowEnd=FALSE,"",VLOOKUP(DataID,DataRange,Data!F$2,FALSE))</f>
        <v>0</v>
      </c>
      <c r="D73" s="66">
        <f>IF(ShowEnd=FALSE,"",VLOOKUP(DataID,DataRange,Data!G$2,FALSE))</f>
        <v>0</v>
      </c>
      <c r="E73" s="66">
        <f>IF(ShowEnd=FALSE,"",VLOOKUP(DataID,DataRange,Data!H$2,FALSE))</f>
        <v>0</v>
      </c>
      <c r="F73" s="66">
        <f>IF(ShowEnd=FALSE,"",VLOOKUP(DataID,DataRange,Data!I$2,FALSE))</f>
        <v>0</v>
      </c>
      <c r="G73" s="66">
        <f>IF(ShowEnd=FALSE,"",VLOOKUP(DataID,DataRange,Data!J$2,FALSE))</f>
        <v>0</v>
      </c>
      <c r="H73" s="66">
        <f>IF(ShowEnd=FALSE,"",VLOOKUP(DataID,DataRange,Data!K$2,FALSE))</f>
        <v>0</v>
      </c>
      <c r="I73" s="66">
        <f>IF(ShowEnd=FALSE,"",VLOOKUP(DataID,DataRange,Data!L$2,FALSE))</f>
        <v>0</v>
      </c>
      <c r="J73" s="66">
        <f>IF(ShowEnd=FALSE,"",VLOOKUP(DataID,DataRange,Data!M$2,FALSE))</f>
        <v>0</v>
      </c>
      <c r="K73" s="66">
        <f>IF(ShowEnd=FALSE,"",VLOOKUP(DataID,DataRange,Data!N$2,FALSE))</f>
        <v>0</v>
      </c>
      <c r="L73" s="66">
        <f>IF(ShowEnd=FALSE,"",VLOOKUP(DataID,DataRange,Data!O$2,FALSE))</f>
        <v>0</v>
      </c>
      <c r="M73" s="66">
        <f>IF(ShowEnd=FALSE,"",VLOOKUP(DataID,DataRange,Data!P$2,FALSE))</f>
        <v>0</v>
      </c>
      <c r="N73" s="66">
        <f>IF(ShowEnd=FALSE,"",VLOOKUP(DataID,DataRange,Data!Q$2,FALSE))</f>
        <v>0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x14ac:dyDescent="0.25">
      <c r="B74" s="27" t="s">
        <v>140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>
        <f>IF(ShowEnd=FALSE,"",VLOOKUP(DataID,DataRange,Data!S$2,FALSE))</f>
        <v>0</v>
      </c>
      <c r="P74" s="66">
        <f>IF(ShowEnd=FALSE,"",VLOOKUP(DataID,DataRange,Data!T$2,FALSE))</f>
        <v>0</v>
      </c>
      <c r="Q74" s="66">
        <f>IF(ShowEnd=FALSE,"",VLOOKUP(DataID,DataRange,Data!U$2,FALSE))</f>
        <v>0</v>
      </c>
      <c r="R74" s="66">
        <f>IF(ShowEnd=FALSE,"",VLOOKUP(DataID,DataRange,Data!V$2,FALSE))</f>
        <v>0</v>
      </c>
      <c r="S74" s="66">
        <f>IF(ShowEnd=FALSE,"",VLOOKUP(DataID,DataRange,Data!W$2,FALSE))</f>
        <v>0</v>
      </c>
      <c r="T74" s="66">
        <f>IF(ShowEnd=FALSE,"",VLOOKUP(DataID,DataRange,Data!X$2,FALSE))</f>
        <v>0</v>
      </c>
      <c r="U74" s="66">
        <f>IF(ShowEnd=FALSE,"",VLOOKUP(DataID,DataRange,Data!Y$2,FALSE))</f>
        <v>0</v>
      </c>
      <c r="V74" s="66">
        <f>IF(ShowEnd=FALSE,"",VLOOKUP(DataID,DataRange,Data!Z$2,FALSE))</f>
        <v>0</v>
      </c>
      <c r="W74" s="66">
        <f>IF(ShowEnd=FALSE,"",VLOOKUP(DataID,DataRange,Data!AA$2,FALSE))</f>
        <v>0</v>
      </c>
      <c r="X74" s="66">
        <f>IF(ShowEnd=FALSE,"",VLOOKUP(DataID,DataRange,Data!AB$2,FALSE))</f>
        <v>0</v>
      </c>
      <c r="Y74" s="66">
        <f>IF(ShowEnd=FALSE,"",VLOOKUP(DataID,DataRange,Data!AC$2,FALSE))</f>
        <v>0</v>
      </c>
      <c r="Z74" s="66">
        <f>IF(ShowEnd=FALSE,"",VLOOKUP(DataID,DataRange,Data!AD$2,FALSE))</f>
        <v>0</v>
      </c>
    </row>
    <row r="75" spans="2:26" x14ac:dyDescent="0.25">
      <c r="B75" s="27" t="s">
        <v>141</v>
      </c>
      <c r="C75" s="66">
        <f>IF(ShowAvg=FALSE,"",VLOOKUP(DataID,DataRange,Data!AF$2,FALSE))</f>
        <v>0</v>
      </c>
      <c r="D75" s="66">
        <f t="shared" ref="D75:N75" si="1">C75</f>
        <v>0</v>
      </c>
      <c r="E75" s="66">
        <f t="shared" si="1"/>
        <v>0</v>
      </c>
      <c r="F75" s="66">
        <f t="shared" si="1"/>
        <v>0</v>
      </c>
      <c r="G75" s="66">
        <f t="shared" si="1"/>
        <v>0</v>
      </c>
      <c r="H75" s="66">
        <f t="shared" si="1"/>
        <v>0</v>
      </c>
      <c r="I75" s="66">
        <f t="shared" si="1"/>
        <v>0</v>
      </c>
      <c r="J75" s="66">
        <f t="shared" si="1"/>
        <v>0</v>
      </c>
      <c r="K75" s="66">
        <f t="shared" si="1"/>
        <v>0</v>
      </c>
      <c r="L75" s="66">
        <f t="shared" si="1"/>
        <v>0</v>
      </c>
      <c r="M75" s="66">
        <f t="shared" si="1"/>
        <v>0</v>
      </c>
      <c r="N75" s="66">
        <f t="shared" si="1"/>
        <v>0</v>
      </c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x14ac:dyDescent="0.25">
      <c r="B76" s="27" t="s">
        <v>142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>
        <f>IF(ShowAvg=FALSE,"",VLOOKUP(DataID,DataRange,Data!AG$2,FALSE))</f>
        <v>0</v>
      </c>
      <c r="P76" s="66">
        <f>O76</f>
        <v>0</v>
      </c>
      <c r="Q76" s="66">
        <f t="shared" ref="Q76:Z76" si="2">P76</f>
        <v>0</v>
      </c>
      <c r="R76" s="66">
        <f t="shared" si="2"/>
        <v>0</v>
      </c>
      <c r="S76" s="66">
        <f t="shared" si="2"/>
        <v>0</v>
      </c>
      <c r="T76" s="66">
        <f t="shared" si="2"/>
        <v>0</v>
      </c>
      <c r="U76" s="66">
        <f t="shared" si="2"/>
        <v>0</v>
      </c>
      <c r="V76" s="66">
        <f t="shared" si="2"/>
        <v>0</v>
      </c>
      <c r="W76" s="66">
        <f t="shared" si="2"/>
        <v>0</v>
      </c>
      <c r="X76" s="66">
        <f t="shared" si="2"/>
        <v>0</v>
      </c>
      <c r="Y76" s="66">
        <f t="shared" si="2"/>
        <v>0</v>
      </c>
      <c r="Z76" s="66">
        <f t="shared" si="2"/>
        <v>0</v>
      </c>
    </row>
    <row r="78" spans="2:26" x14ac:dyDescent="0.25">
      <c r="B78" t="str">
        <f>VLOOKUP(DataID,DataRange,Data!$C$2,FALSE)</f>
        <v>Efficiency Ratio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Efficiency Ratio;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-2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-2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4056C-2752-4902-95B7-D62E7D6DBD7D}">
  <sheetPr codeName="Sheet38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"Average Economy of Scale in "&amp;TEXT(EOMONTH(BeginDate,12),"yyy")</f>
        <v>Average Economy of Scale in 2022</v>
      </c>
      <c r="J32" s="61">
        <f>VLOOKUP(DataID,DataRange,Data!$AF$2,FALSE)</f>
        <v>0</v>
      </c>
    </row>
    <row r="33" spans="2:14" x14ac:dyDescent="0.25">
      <c r="D33" t="str">
        <f>"Budget Economy of Scale in "&amp;TEXT(EOMONTH(BeginDate,24),"yyy")</f>
        <v>Budget Economy of Scale in 2023</v>
      </c>
      <c r="J33" s="61">
        <f>VLOOKUP(DataID,DataRange,Data!$AG$2,FALSE)</f>
        <v>0</v>
      </c>
    </row>
    <row r="34" spans="2:14" x14ac:dyDescent="0.25">
      <c r="D34" t="s">
        <v>144</v>
      </c>
      <c r="J34" s="61">
        <f>VLOOKUP(DataID,DataRange,Data!$AH$2,FALSE)</f>
        <v>0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130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139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140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 t="s">
        <v>141</v>
      </c>
      <c r="C75" s="29">
        <f>IF(ShowAvg=FALSE,"",VLOOKUP(DataID,DataRange,Data!AF$2,FALSE))</f>
        <v>0</v>
      </c>
      <c r="D75" s="29">
        <f t="shared" ref="D75:N75" si="1">C75</f>
        <v>0</v>
      </c>
      <c r="E75" s="29">
        <f t="shared" si="1"/>
        <v>0</v>
      </c>
      <c r="F75" s="29">
        <f t="shared" si="1"/>
        <v>0</v>
      </c>
      <c r="G75" s="29">
        <f t="shared" si="1"/>
        <v>0</v>
      </c>
      <c r="H75" s="29">
        <f t="shared" si="1"/>
        <v>0</v>
      </c>
      <c r="I75" s="29">
        <f t="shared" si="1"/>
        <v>0</v>
      </c>
      <c r="J75" s="29">
        <f t="shared" si="1"/>
        <v>0</v>
      </c>
      <c r="K75" s="29">
        <f t="shared" si="1"/>
        <v>0</v>
      </c>
      <c r="L75" s="29">
        <f t="shared" si="1"/>
        <v>0</v>
      </c>
      <c r="M75" s="29">
        <f t="shared" si="1"/>
        <v>0</v>
      </c>
      <c r="N75" s="29">
        <f t="shared" si="1"/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 t="s">
        <v>142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f>IF(ShowAvg=FALSE,"",VLOOKUP(DataID,DataRange,Data!AG$2,FALSE))</f>
        <v>0</v>
      </c>
      <c r="P76" s="29">
        <f>O76</f>
        <v>0</v>
      </c>
      <c r="Q76" s="29">
        <f t="shared" ref="Q76:Z76" si="2">P76</f>
        <v>0</v>
      </c>
      <c r="R76" s="29">
        <f t="shared" si="2"/>
        <v>0</v>
      </c>
      <c r="S76" s="29">
        <f t="shared" si="2"/>
        <v>0</v>
      </c>
      <c r="T76" s="29">
        <f t="shared" si="2"/>
        <v>0</v>
      </c>
      <c r="U76" s="29">
        <f t="shared" si="2"/>
        <v>0</v>
      </c>
      <c r="V76" s="29">
        <f t="shared" si="2"/>
        <v>0</v>
      </c>
      <c r="W76" s="29">
        <f t="shared" si="2"/>
        <v>0</v>
      </c>
      <c r="X76" s="29">
        <f t="shared" si="2"/>
        <v>0</v>
      </c>
      <c r="Y76" s="29">
        <f t="shared" si="2"/>
        <v>0</v>
      </c>
      <c r="Z76" s="29">
        <f t="shared" si="2"/>
        <v>0</v>
      </c>
    </row>
    <row r="78" spans="2:26" x14ac:dyDescent="0.25">
      <c r="B78" t="str">
        <f>VLOOKUP(DataID,DataRange,Data!$C$2,FALSE)</f>
        <v>Economy of Scale Ratio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Economy of Scale Ratio;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4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9A66-9A7C-4B19-A684-C332E2D33AA0}">
  <sheetPr codeName="Sheet35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B78&amp;" in "&amp;TEXT(EOMONTH(BeginDate,12),"yyy")</f>
        <v>Net Charge-Offs in 2022</v>
      </c>
      <c r="J32" s="64">
        <f>VLOOKUP(DataID,DataRange,Data!$AF$2,FALSE)</f>
        <v>0</v>
      </c>
      <c r="K32" t="str">
        <f>IFERROR(_xlfn.CONCAT("&lt;-- Equal to ",TEXT(J32/Data!$AF$8,"0.00%")," of Loans"),"")</f>
        <v/>
      </c>
    </row>
    <row r="33" spans="2:14" x14ac:dyDescent="0.25">
      <c r="D33" t="str">
        <f>"Budget "&amp;B78&amp;" in "&amp;TEXT(EOMONTH(BeginDate,24),"yyy")</f>
        <v>Budget Net Charge-Offs in 2023</v>
      </c>
      <c r="J33" s="64">
        <f>VLOOKUP(DataID,DataRange,Data!$AG$2,FALSE)</f>
        <v>0</v>
      </c>
      <c r="K33" t="str">
        <f>IFERROR(_xlfn.CONCAT("&lt;-- Equal to ",TEXT(J33/Data!$AG$8,"0.00%")," of Loans"),"")</f>
        <v/>
      </c>
    </row>
    <row r="34" spans="2:14" x14ac:dyDescent="0.25">
      <c r="D34" t="str">
        <f>"Change in "&amp;B78</f>
        <v>Change in Net Charge-Offs</v>
      </c>
      <c r="I34" s="1">
        <f>IFERROR(J34/J32,0)</f>
        <v>0</v>
      </c>
      <c r="J34" s="64">
        <f>VLOOKUP(DataID,DataRange,Data!$AH$2,FALSE)</f>
        <v>0</v>
      </c>
      <c r="K34" t="str">
        <f>IFERROR(_xlfn.CONCAT("&lt;-- Equal to ",TEXT(J34/Data!$AG$12,"0.00%")," ROA"),"")</f>
        <v/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81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122</v>
      </c>
      <c r="C73" s="62">
        <f>IF(ShowEnd=FALSE,"",VLOOKUP(DataID,DataRange,Data!F$2,FALSE))</f>
        <v>0</v>
      </c>
      <c r="D73" s="62">
        <f>IF(ShowEnd=FALSE,"",VLOOKUP(DataID,DataRange,Data!G$2,FALSE))</f>
        <v>0</v>
      </c>
      <c r="E73" s="62">
        <f>IF(ShowEnd=FALSE,"",VLOOKUP(DataID,DataRange,Data!H$2,FALSE))</f>
        <v>0</v>
      </c>
      <c r="F73" s="62">
        <f>IF(ShowEnd=FALSE,"",VLOOKUP(DataID,DataRange,Data!I$2,FALSE))</f>
        <v>0</v>
      </c>
      <c r="G73" s="62">
        <f>IF(ShowEnd=FALSE,"",VLOOKUP(DataID,DataRange,Data!J$2,FALSE))</f>
        <v>0</v>
      </c>
      <c r="H73" s="62">
        <f>IF(ShowEnd=FALSE,"",VLOOKUP(DataID,DataRange,Data!K$2,FALSE))</f>
        <v>0</v>
      </c>
      <c r="I73" s="62">
        <f>IF(ShowEnd=FALSE,"",VLOOKUP(DataID,DataRange,Data!L$2,FALSE))</f>
        <v>0</v>
      </c>
      <c r="J73" s="62">
        <f>IF(ShowEnd=FALSE,"",VLOOKUP(DataID,DataRange,Data!M$2,FALSE))</f>
        <v>0</v>
      </c>
      <c r="K73" s="62">
        <f>IF(ShowEnd=FALSE,"",VLOOKUP(DataID,DataRange,Data!N$2,FALSE))</f>
        <v>0</v>
      </c>
      <c r="L73" s="62">
        <f>IF(ShowEnd=FALSE,"",VLOOKUP(DataID,DataRange,Data!O$2,FALSE))</f>
        <v>0</v>
      </c>
      <c r="M73" s="62">
        <f>IF(ShowEnd=FALSE,"",VLOOKUP(DataID,DataRange,Data!P$2,FALSE))</f>
        <v>0</v>
      </c>
      <c r="N73" s="62">
        <f>IF(ShowEnd=FALSE,"",VLOOKUP(DataID,DataRange,Data!Q$2,FALSE))</f>
        <v>0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2:26" x14ac:dyDescent="0.25">
      <c r="B74" s="27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>IF(ShowEnd=FALSE,"",VLOOKUP(DataID,DataRange,Data!S$2,FALSE))</f>
        <v>0</v>
      </c>
      <c r="P74" s="62">
        <f>IF(ShowEnd=FALSE,"",VLOOKUP(DataID,DataRange,Data!T$2,FALSE))</f>
        <v>0</v>
      </c>
      <c r="Q74" s="62">
        <f>IF(ShowEnd=FALSE,"",VLOOKUP(DataID,DataRange,Data!U$2,FALSE))</f>
        <v>0</v>
      </c>
      <c r="R74" s="62">
        <f>IF(ShowEnd=FALSE,"",VLOOKUP(DataID,DataRange,Data!V$2,FALSE))</f>
        <v>0</v>
      </c>
      <c r="S74" s="62">
        <f>IF(ShowEnd=FALSE,"",VLOOKUP(DataID,DataRange,Data!W$2,FALSE))</f>
        <v>0</v>
      </c>
      <c r="T74" s="62">
        <f>IF(ShowEnd=FALSE,"",VLOOKUP(DataID,DataRange,Data!X$2,FALSE))</f>
        <v>0</v>
      </c>
      <c r="U74" s="62">
        <f>IF(ShowEnd=FALSE,"",VLOOKUP(DataID,DataRange,Data!Y$2,FALSE))</f>
        <v>0</v>
      </c>
      <c r="V74" s="62">
        <f>IF(ShowEnd=FALSE,"",VLOOKUP(DataID,DataRange,Data!Z$2,FALSE))</f>
        <v>0</v>
      </c>
      <c r="W74" s="62">
        <f>IF(ShowEnd=FALSE,"",VLOOKUP(DataID,DataRange,Data!AA$2,FALSE))</f>
        <v>0</v>
      </c>
      <c r="X74" s="62">
        <f>IF(ShowEnd=FALSE,"",VLOOKUP(DataID,DataRange,Data!AB$2,FALSE))</f>
        <v>0</v>
      </c>
      <c r="Y74" s="62">
        <f>IF(ShowEnd=FALSE,"",VLOOKUP(DataID,DataRange,Data!AC$2,FALSE))</f>
        <v>0</v>
      </c>
      <c r="Z74" s="62">
        <f>IF(ShowEnd=FALSE,"",VLOOKUP(DataID,DataRange,Data!AD$2,FALSE))</f>
        <v>0</v>
      </c>
    </row>
    <row r="75" spans="2:26" x14ac:dyDescent="0.25">
      <c r="B75" s="27" t="s">
        <v>119</v>
      </c>
      <c r="C75" s="62">
        <f>IF(ShowAvg=FALSE,"",VLOOKUP(DataID,DataRange,Data!AF$2,FALSE)/12)</f>
        <v>0</v>
      </c>
      <c r="D75" s="62">
        <f t="shared" ref="D75:N75" si="1">C75</f>
        <v>0</v>
      </c>
      <c r="E75" s="62">
        <f t="shared" si="1"/>
        <v>0</v>
      </c>
      <c r="F75" s="62">
        <f t="shared" si="1"/>
        <v>0</v>
      </c>
      <c r="G75" s="62">
        <f t="shared" si="1"/>
        <v>0</v>
      </c>
      <c r="H75" s="62">
        <f t="shared" si="1"/>
        <v>0</v>
      </c>
      <c r="I75" s="62">
        <f t="shared" si="1"/>
        <v>0</v>
      </c>
      <c r="J75" s="62">
        <f t="shared" si="1"/>
        <v>0</v>
      </c>
      <c r="K75" s="62">
        <f t="shared" si="1"/>
        <v>0</v>
      </c>
      <c r="L75" s="62">
        <f t="shared" si="1"/>
        <v>0</v>
      </c>
      <c r="M75" s="62">
        <f t="shared" si="1"/>
        <v>0</v>
      </c>
      <c r="N75" s="62">
        <f t="shared" si="1"/>
        <v>0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2:26" x14ac:dyDescent="0.25">
      <c r="B76" s="27" t="s">
        <v>120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>IF(ShowAvg=FALSE,"",VLOOKUP(DataID,DataRange,Data!AG$2,FALSE)/12)</f>
        <v>0</v>
      </c>
      <c r="P76" s="62">
        <f>O76</f>
        <v>0</v>
      </c>
      <c r="Q76" s="62">
        <f t="shared" ref="Q76:Z76" si="2">P76</f>
        <v>0</v>
      </c>
      <c r="R76" s="62">
        <f t="shared" si="2"/>
        <v>0</v>
      </c>
      <c r="S76" s="62">
        <f t="shared" si="2"/>
        <v>0</v>
      </c>
      <c r="T76" s="62">
        <f t="shared" si="2"/>
        <v>0</v>
      </c>
      <c r="U76" s="62">
        <f t="shared" si="2"/>
        <v>0</v>
      </c>
      <c r="V76" s="62">
        <f t="shared" si="2"/>
        <v>0</v>
      </c>
      <c r="W76" s="62">
        <f t="shared" si="2"/>
        <v>0</v>
      </c>
      <c r="X76" s="62">
        <f t="shared" si="2"/>
        <v>0</v>
      </c>
      <c r="Y76" s="62">
        <f t="shared" si="2"/>
        <v>0</v>
      </c>
      <c r="Z76" s="62">
        <f t="shared" si="2"/>
        <v>0</v>
      </c>
    </row>
    <row r="78" spans="2:26" x14ac:dyDescent="0.25">
      <c r="B78" t="str">
        <f>VLOOKUP(DataID,DataRange,Data!$C$2,FALSE)</f>
        <v>Net Charge-Offs</v>
      </c>
    </row>
    <row r="79" spans="2:26" x14ac:dyDescent="0.25">
      <c r="B79" s="27" t="s">
        <v>85</v>
      </c>
    </row>
    <row r="80" spans="2:26" x14ac:dyDescent="0.25">
      <c r="B80" t="s">
        <v>123</v>
      </c>
    </row>
    <row r="81" spans="2:6" x14ac:dyDescent="0.25">
      <c r="B81" t="str">
        <f>IF(ShowAvg=FALSE,_xlfn.CONCAT(B78,B79),_xlfn.CONCAT(B78,B79,B80))</f>
        <v>Net Charge-Offs (000s); Shaded Area = Monthly Avg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3">
        <f>MIN(C73:Z76)</f>
        <v>0</v>
      </c>
      <c r="C86" s="58">
        <v>0.9</v>
      </c>
      <c r="D86" s="53">
        <v>2</v>
      </c>
      <c r="E86" s="63">
        <f>IF(B86&lt;0,ROUNDUP(B86/C86,-D86),ROUNDDOWN(B86*C86,-D86))</f>
        <v>0</v>
      </c>
      <c r="F86" t="s">
        <v>90</v>
      </c>
    </row>
    <row r="87" spans="2:6" x14ac:dyDescent="0.25">
      <c r="B87" s="63">
        <f>MAX(C73:Z76)</f>
        <v>0</v>
      </c>
      <c r="C87" s="58">
        <v>1.1000000000000001</v>
      </c>
      <c r="D87" s="53">
        <v>2</v>
      </c>
      <c r="E87" s="63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AE73-08E0-405B-A634-B574F2C55AA5}">
  <sheetPr codeName="Sheet24"/>
  <dimension ref="B2:AK61"/>
  <sheetViews>
    <sheetView showGridLines="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.7109375" customWidth="1"/>
    <col min="2" max="2" width="4.28515625" hidden="1" customWidth="1"/>
    <col min="3" max="3" width="29.42578125" bestFit="1" customWidth="1"/>
    <col min="4" max="4" width="1.7109375" customWidth="1"/>
    <col min="5" max="5" width="10.85546875" bestFit="1" customWidth="1"/>
    <col min="6" max="7" width="10.85546875" customWidth="1"/>
    <col min="8" max="17" width="10.85546875" bestFit="1" customWidth="1"/>
    <col min="18" max="18" width="1.7109375" customWidth="1"/>
    <col min="19" max="30" width="10.85546875" bestFit="1" customWidth="1"/>
    <col min="32" max="33" width="9.85546875" customWidth="1"/>
    <col min="34" max="37" width="9.140625" customWidth="1"/>
  </cols>
  <sheetData>
    <row r="2" spans="2:37" hidden="1" x14ac:dyDescent="0.25">
      <c r="C2" s="54">
        <v>2</v>
      </c>
      <c r="D2" s="54"/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>
        <v>10</v>
      </c>
      <c r="L2" s="54">
        <v>11</v>
      </c>
      <c r="M2" s="54">
        <v>12</v>
      </c>
      <c r="N2" s="54">
        <v>13</v>
      </c>
      <c r="O2" s="54">
        <v>14</v>
      </c>
      <c r="P2" s="54">
        <v>15</v>
      </c>
      <c r="Q2" s="54">
        <v>16</v>
      </c>
      <c r="R2" s="54"/>
      <c r="S2" s="54">
        <v>18</v>
      </c>
      <c r="T2" s="54">
        <v>19</v>
      </c>
      <c r="U2" s="54">
        <v>20</v>
      </c>
      <c r="V2" s="54">
        <v>21</v>
      </c>
      <c r="W2" s="54">
        <v>22</v>
      </c>
      <c r="X2" s="54">
        <v>23</v>
      </c>
      <c r="Y2" s="54">
        <v>24</v>
      </c>
      <c r="Z2" s="54">
        <v>25</v>
      </c>
      <c r="AA2" s="54">
        <v>26</v>
      </c>
      <c r="AB2" s="54">
        <v>27</v>
      </c>
      <c r="AC2" s="54">
        <v>28</v>
      </c>
      <c r="AD2" s="54">
        <v>29</v>
      </c>
      <c r="AF2" s="54">
        <v>31</v>
      </c>
      <c r="AG2" s="54">
        <v>32</v>
      </c>
      <c r="AH2" s="54">
        <v>33</v>
      </c>
      <c r="AI2" s="54">
        <v>34</v>
      </c>
      <c r="AJ2" s="54">
        <v>35</v>
      </c>
      <c r="AK2" s="54">
        <v>36</v>
      </c>
    </row>
    <row r="4" spans="2:37" x14ac:dyDescent="0.25">
      <c r="C4" s="99" t="s">
        <v>174</v>
      </c>
      <c r="E4" s="97" t="s">
        <v>56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S4" s="98" t="s">
        <v>57</v>
      </c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2:37" x14ac:dyDescent="0.25">
      <c r="C5" s="100"/>
    </row>
    <row r="6" spans="2:37" x14ac:dyDescent="0.25">
      <c r="C6" s="101"/>
      <c r="E6" s="43">
        <v>44561</v>
      </c>
      <c r="F6" s="45">
        <f>EOMONTH(E6,1)</f>
        <v>44592</v>
      </c>
      <c r="G6" s="45">
        <f t="shared" ref="G6:AD6" si="0">EOMONTH(F6,1)</f>
        <v>44620</v>
      </c>
      <c r="H6" s="45">
        <f t="shared" si="0"/>
        <v>44651</v>
      </c>
      <c r="I6" s="45">
        <f t="shared" si="0"/>
        <v>44681</v>
      </c>
      <c r="J6" s="45">
        <f t="shared" si="0"/>
        <v>44712</v>
      </c>
      <c r="K6" s="45">
        <f t="shared" si="0"/>
        <v>44742</v>
      </c>
      <c r="L6" s="45">
        <f t="shared" si="0"/>
        <v>44773</v>
      </c>
      <c r="M6" s="45">
        <f t="shared" si="0"/>
        <v>44804</v>
      </c>
      <c r="N6" s="45">
        <f t="shared" si="0"/>
        <v>44834</v>
      </c>
      <c r="O6" s="45">
        <f t="shared" si="0"/>
        <v>44865</v>
      </c>
      <c r="P6" s="45">
        <f t="shared" si="0"/>
        <v>44895</v>
      </c>
      <c r="Q6" s="45">
        <f t="shared" si="0"/>
        <v>44926</v>
      </c>
      <c r="S6" s="44">
        <f>EOMONTH(Q6,1)</f>
        <v>44957</v>
      </c>
      <c r="T6" s="44">
        <f t="shared" si="0"/>
        <v>44985</v>
      </c>
      <c r="U6" s="44">
        <f t="shared" si="0"/>
        <v>45016</v>
      </c>
      <c r="V6" s="44">
        <f t="shared" si="0"/>
        <v>45046</v>
      </c>
      <c r="W6" s="44">
        <f t="shared" si="0"/>
        <v>45077</v>
      </c>
      <c r="X6" s="44">
        <f t="shared" si="0"/>
        <v>45107</v>
      </c>
      <c r="Y6" s="44">
        <f t="shared" si="0"/>
        <v>45138</v>
      </c>
      <c r="Z6" s="44">
        <f t="shared" si="0"/>
        <v>45169</v>
      </c>
      <c r="AA6" s="44">
        <f t="shared" si="0"/>
        <v>45199</v>
      </c>
      <c r="AB6" s="44">
        <f t="shared" si="0"/>
        <v>45230</v>
      </c>
      <c r="AC6" s="44">
        <f t="shared" si="0"/>
        <v>45260</v>
      </c>
      <c r="AD6" s="44">
        <f t="shared" si="0"/>
        <v>45291</v>
      </c>
      <c r="AF6" s="59" t="s">
        <v>92</v>
      </c>
      <c r="AG6" s="59" t="s">
        <v>93</v>
      </c>
      <c r="AH6" s="59" t="s">
        <v>18</v>
      </c>
      <c r="AI6" s="59" t="s">
        <v>94</v>
      </c>
      <c r="AJ6" s="59" t="s">
        <v>95</v>
      </c>
      <c r="AK6" s="59" t="s">
        <v>94</v>
      </c>
    </row>
    <row r="8" spans="2:37" x14ac:dyDescent="0.25">
      <c r="B8" t="s">
        <v>109</v>
      </c>
      <c r="C8" t="s">
        <v>58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F8" s="50">
        <f>IFERROR(AVERAGE(E8:Q8),0)</f>
        <v>0</v>
      </c>
      <c r="AG8" s="50">
        <f>IFERROR(AVERAGE(Q8,S8:AD8),0)</f>
        <v>0</v>
      </c>
      <c r="AH8" s="50">
        <f>AG8-AF8</f>
        <v>0</v>
      </c>
      <c r="AI8" s="1">
        <f>IFERROR(AH8/AF8,0)</f>
        <v>0</v>
      </c>
      <c r="AJ8" s="50">
        <f>AD8-Q8</f>
        <v>0</v>
      </c>
      <c r="AK8" s="1">
        <f>IFERROR(AJ8/Q8,0)</f>
        <v>0</v>
      </c>
    </row>
    <row r="9" spans="2:37" x14ac:dyDescent="0.25">
      <c r="B9" t="s">
        <v>110</v>
      </c>
      <c r="C9" t="s">
        <v>59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F9" s="50">
        <f t="shared" ref="AF9:AF11" si="1">IFERROR(AVERAGE(E9:Q9),0)</f>
        <v>0</v>
      </c>
      <c r="AG9" s="50">
        <f>IFERROR(AVERAGE(Q9,S9:AD9),0)</f>
        <v>0</v>
      </c>
      <c r="AH9" s="50">
        <f>AG9-AF9</f>
        <v>0</v>
      </c>
      <c r="AI9" s="1">
        <f t="shared" ref="AI9:AI17" si="2">IFERROR(AH9/AF9,0)</f>
        <v>0</v>
      </c>
      <c r="AJ9" s="50">
        <f>AD9-Q9</f>
        <v>0</v>
      </c>
      <c r="AK9" s="1">
        <f t="shared" ref="AK9:AK17" si="3">IFERROR(AJ9/Q9,0)</f>
        <v>0</v>
      </c>
    </row>
    <row r="10" spans="2:37" x14ac:dyDescent="0.25">
      <c r="B10" t="s">
        <v>111</v>
      </c>
      <c r="C10" t="s">
        <v>27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F10" s="50">
        <f t="shared" si="1"/>
        <v>0</v>
      </c>
      <c r="AG10" s="50">
        <f>IFERROR(AVERAGE(Q10,S10:AD10),0)</f>
        <v>0</v>
      </c>
      <c r="AH10" s="50">
        <f>AG10-AF10</f>
        <v>0</v>
      </c>
      <c r="AI10" s="1">
        <f t="shared" si="2"/>
        <v>0</v>
      </c>
      <c r="AJ10" s="50">
        <f>AD10-Q10</f>
        <v>0</v>
      </c>
      <c r="AK10" s="1">
        <f t="shared" si="3"/>
        <v>0</v>
      </c>
    </row>
    <row r="11" spans="2:37" x14ac:dyDescent="0.25">
      <c r="B11" t="s">
        <v>112</v>
      </c>
      <c r="C11" t="s">
        <v>60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F11" s="50">
        <f t="shared" si="1"/>
        <v>0</v>
      </c>
      <c r="AG11" s="50">
        <f>IFERROR(AVERAGE(Q11,S11:AD11),0)</f>
        <v>0</v>
      </c>
      <c r="AH11" s="50">
        <f>AG11-AF11</f>
        <v>0</v>
      </c>
      <c r="AI11" s="1">
        <f t="shared" si="2"/>
        <v>0</v>
      </c>
      <c r="AJ11" s="50">
        <f>AD11-Q11</f>
        <v>0</v>
      </c>
      <c r="AK11" s="1">
        <f t="shared" si="3"/>
        <v>0</v>
      </c>
    </row>
    <row r="12" spans="2:37" x14ac:dyDescent="0.25">
      <c r="B12" t="s">
        <v>113</v>
      </c>
      <c r="C12" s="47" t="s">
        <v>61</v>
      </c>
      <c r="E12" s="49">
        <f>SUM(E8,E9,E11)-E10</f>
        <v>0</v>
      </c>
      <c r="F12" s="49">
        <f t="shared" ref="F12:AD12" si="4">SUM(F8,F9,F11)-F10</f>
        <v>0</v>
      </c>
      <c r="G12" s="49">
        <f t="shared" si="4"/>
        <v>0</v>
      </c>
      <c r="H12" s="49">
        <f t="shared" si="4"/>
        <v>0</v>
      </c>
      <c r="I12" s="49">
        <f t="shared" si="4"/>
        <v>0</v>
      </c>
      <c r="J12" s="49">
        <f t="shared" si="4"/>
        <v>0</v>
      </c>
      <c r="K12" s="49">
        <f t="shared" si="4"/>
        <v>0</v>
      </c>
      <c r="L12" s="49">
        <f t="shared" si="4"/>
        <v>0</v>
      </c>
      <c r="M12" s="49">
        <f t="shared" si="4"/>
        <v>0</v>
      </c>
      <c r="N12" s="49">
        <f t="shared" si="4"/>
        <v>0</v>
      </c>
      <c r="O12" s="49">
        <f t="shared" si="4"/>
        <v>0</v>
      </c>
      <c r="P12" s="49">
        <f t="shared" si="4"/>
        <v>0</v>
      </c>
      <c r="Q12" s="49">
        <f t="shared" si="4"/>
        <v>0</v>
      </c>
      <c r="S12" s="49">
        <f t="shared" si="4"/>
        <v>0</v>
      </c>
      <c r="T12" s="49">
        <f t="shared" si="4"/>
        <v>0</v>
      </c>
      <c r="U12" s="49">
        <f t="shared" si="4"/>
        <v>0</v>
      </c>
      <c r="V12" s="49">
        <f t="shared" si="4"/>
        <v>0</v>
      </c>
      <c r="W12" s="49">
        <f t="shared" si="4"/>
        <v>0</v>
      </c>
      <c r="X12" s="49">
        <f t="shared" si="4"/>
        <v>0</v>
      </c>
      <c r="Y12" s="49">
        <f t="shared" si="4"/>
        <v>0</v>
      </c>
      <c r="Z12" s="49">
        <f t="shared" si="4"/>
        <v>0</v>
      </c>
      <c r="AA12" s="49">
        <f t="shared" si="4"/>
        <v>0</v>
      </c>
      <c r="AB12" s="49">
        <f t="shared" si="4"/>
        <v>0</v>
      </c>
      <c r="AC12" s="49">
        <f t="shared" si="4"/>
        <v>0</v>
      </c>
      <c r="AD12" s="49">
        <f t="shared" si="4"/>
        <v>0</v>
      </c>
      <c r="AF12" s="50">
        <f>AVERAGE(E12:Q12)</f>
        <v>0</v>
      </c>
      <c r="AG12" s="50">
        <f>AVERAGE(Q12,S12:AD12)</f>
        <v>0</v>
      </c>
      <c r="AH12" s="50">
        <f>AG12-AF12</f>
        <v>0</v>
      </c>
      <c r="AI12" s="1">
        <f t="shared" si="2"/>
        <v>0</v>
      </c>
      <c r="AJ12" s="50">
        <f>AD12-Q12</f>
        <v>0</v>
      </c>
      <c r="AK12" s="1">
        <f t="shared" si="3"/>
        <v>0</v>
      </c>
    </row>
    <row r="13" spans="2:37" x14ac:dyDescent="0.25"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2:37" x14ac:dyDescent="0.25">
      <c r="B14" t="s">
        <v>114</v>
      </c>
      <c r="C14" t="s">
        <v>62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F14" s="50">
        <f t="shared" ref="AF14:AF17" si="5">IFERROR(AVERAGE(E14:Q14),0)</f>
        <v>0</v>
      </c>
      <c r="AG14" s="50">
        <f>IFERROR(AVERAGE(Q14,S14:AD14),0)</f>
        <v>0</v>
      </c>
      <c r="AH14" s="50">
        <f>AG14-AF14</f>
        <v>0</v>
      </c>
      <c r="AI14" s="1">
        <f t="shared" si="2"/>
        <v>0</v>
      </c>
      <c r="AJ14" s="50">
        <f>AD14-Q14</f>
        <v>0</v>
      </c>
      <c r="AK14" s="1">
        <f t="shared" si="3"/>
        <v>0</v>
      </c>
    </row>
    <row r="15" spans="2:37" x14ac:dyDescent="0.25">
      <c r="B15" t="s">
        <v>115</v>
      </c>
      <c r="C15" t="s">
        <v>29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F15" s="50">
        <f t="shared" si="5"/>
        <v>0</v>
      </c>
      <c r="AG15" s="50">
        <f>IFERROR(AVERAGE(Q15,S15:AD15),0)</f>
        <v>0</v>
      </c>
      <c r="AH15" s="50">
        <f>AG15-AF15</f>
        <v>0</v>
      </c>
      <c r="AI15" s="1">
        <f t="shared" si="2"/>
        <v>0</v>
      </c>
      <c r="AJ15" s="50">
        <f>AD15-Q15</f>
        <v>0</v>
      </c>
      <c r="AK15" s="1">
        <f t="shared" si="3"/>
        <v>0</v>
      </c>
    </row>
    <row r="16" spans="2:37" x14ac:dyDescent="0.25">
      <c r="B16" t="s">
        <v>116</v>
      </c>
      <c r="C16" t="s">
        <v>30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F16" s="50">
        <f t="shared" si="5"/>
        <v>0</v>
      </c>
      <c r="AG16" s="50">
        <f>IFERROR(AVERAGE(Q16,S16:AD16),0)</f>
        <v>0</v>
      </c>
      <c r="AH16" s="50">
        <f>AG16-AF16</f>
        <v>0</v>
      </c>
      <c r="AI16" s="1">
        <f t="shared" si="2"/>
        <v>0</v>
      </c>
      <c r="AJ16" s="50">
        <f>AD16-Q16</f>
        <v>0</v>
      </c>
      <c r="AK16" s="1">
        <f t="shared" si="3"/>
        <v>0</v>
      </c>
    </row>
    <row r="17" spans="2:37" x14ac:dyDescent="0.25">
      <c r="B17" t="s">
        <v>117</v>
      </c>
      <c r="C17" t="s">
        <v>63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F17" s="50">
        <f t="shared" si="5"/>
        <v>0</v>
      </c>
      <c r="AG17" s="50">
        <f>IFERROR(AVERAGE(Q17,S17:AD17),0)</f>
        <v>0</v>
      </c>
      <c r="AH17" s="50">
        <f>AG17-AF17</f>
        <v>0</v>
      </c>
      <c r="AI17" s="1">
        <f t="shared" si="2"/>
        <v>0</v>
      </c>
      <c r="AJ17" s="50">
        <f>AD17-Q17</f>
        <v>0</v>
      </c>
      <c r="AK17" s="1">
        <f t="shared" si="3"/>
        <v>0</v>
      </c>
    </row>
    <row r="18" spans="2:37" x14ac:dyDescent="0.25">
      <c r="B18" t="s">
        <v>118</v>
      </c>
      <c r="C18" s="47" t="s">
        <v>64</v>
      </c>
      <c r="E18" s="49">
        <f>SUM(E14:E17)</f>
        <v>0</v>
      </c>
      <c r="F18" s="49">
        <f t="shared" ref="F18:AD18" si="6">SUM(F14:F17)</f>
        <v>0</v>
      </c>
      <c r="G18" s="49">
        <f t="shared" si="6"/>
        <v>0</v>
      </c>
      <c r="H18" s="49">
        <f t="shared" si="6"/>
        <v>0</v>
      </c>
      <c r="I18" s="49">
        <f t="shared" si="6"/>
        <v>0</v>
      </c>
      <c r="J18" s="49">
        <f t="shared" si="6"/>
        <v>0</v>
      </c>
      <c r="K18" s="49">
        <f t="shared" si="6"/>
        <v>0</v>
      </c>
      <c r="L18" s="49">
        <f t="shared" si="6"/>
        <v>0</v>
      </c>
      <c r="M18" s="49">
        <f t="shared" si="6"/>
        <v>0</v>
      </c>
      <c r="N18" s="49">
        <f t="shared" si="6"/>
        <v>0</v>
      </c>
      <c r="O18" s="49">
        <f t="shared" si="6"/>
        <v>0</v>
      </c>
      <c r="P18" s="49">
        <f t="shared" si="6"/>
        <v>0</v>
      </c>
      <c r="Q18" s="49">
        <f t="shared" si="6"/>
        <v>0</v>
      </c>
      <c r="S18" s="49">
        <f t="shared" si="6"/>
        <v>0</v>
      </c>
      <c r="T18" s="49">
        <f t="shared" si="6"/>
        <v>0</v>
      </c>
      <c r="U18" s="49">
        <f t="shared" si="6"/>
        <v>0</v>
      </c>
      <c r="V18" s="49">
        <f t="shared" si="6"/>
        <v>0</v>
      </c>
      <c r="W18" s="49">
        <f t="shared" si="6"/>
        <v>0</v>
      </c>
      <c r="X18" s="49">
        <f t="shared" si="6"/>
        <v>0</v>
      </c>
      <c r="Y18" s="49">
        <f t="shared" si="6"/>
        <v>0</v>
      </c>
      <c r="Z18" s="49">
        <f t="shared" si="6"/>
        <v>0</v>
      </c>
      <c r="AA18" s="49">
        <f t="shared" si="6"/>
        <v>0</v>
      </c>
      <c r="AB18" s="49">
        <f t="shared" si="6"/>
        <v>0</v>
      </c>
      <c r="AC18" s="49">
        <f t="shared" si="6"/>
        <v>0</v>
      </c>
      <c r="AD18" s="49">
        <f t="shared" si="6"/>
        <v>0</v>
      </c>
    </row>
    <row r="19" spans="2:37" ht="6" customHeight="1" x14ac:dyDescent="0.25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2:37" x14ac:dyDescent="0.25">
      <c r="C20" s="46" t="s">
        <v>65</v>
      </c>
      <c r="E20" s="51">
        <f>ROUND(E18-E12,0)</f>
        <v>0</v>
      </c>
      <c r="F20" s="51">
        <f t="shared" ref="F20:AD20" si="7">ROUND(F18-F12,0)</f>
        <v>0</v>
      </c>
      <c r="G20" s="51">
        <f t="shared" si="7"/>
        <v>0</v>
      </c>
      <c r="H20" s="51">
        <f t="shared" si="7"/>
        <v>0</v>
      </c>
      <c r="I20" s="51">
        <f t="shared" si="7"/>
        <v>0</v>
      </c>
      <c r="J20" s="51">
        <f t="shared" si="7"/>
        <v>0</v>
      </c>
      <c r="K20" s="51">
        <f t="shared" si="7"/>
        <v>0</v>
      </c>
      <c r="L20" s="51">
        <f t="shared" si="7"/>
        <v>0</v>
      </c>
      <c r="M20" s="51">
        <f t="shared" si="7"/>
        <v>0</v>
      </c>
      <c r="N20" s="51">
        <f t="shared" si="7"/>
        <v>0</v>
      </c>
      <c r="O20" s="51">
        <f t="shared" si="7"/>
        <v>0</v>
      </c>
      <c r="P20" s="51">
        <f t="shared" si="7"/>
        <v>0</v>
      </c>
      <c r="Q20" s="51">
        <f t="shared" si="7"/>
        <v>0</v>
      </c>
      <c r="S20" s="51">
        <f t="shared" si="7"/>
        <v>0</v>
      </c>
      <c r="T20" s="51">
        <f t="shared" si="7"/>
        <v>0</v>
      </c>
      <c r="U20" s="51">
        <f t="shared" si="7"/>
        <v>0</v>
      </c>
      <c r="V20" s="51">
        <f t="shared" si="7"/>
        <v>0</v>
      </c>
      <c r="W20" s="51">
        <f t="shared" si="7"/>
        <v>0</v>
      </c>
      <c r="X20" s="51">
        <f t="shared" si="7"/>
        <v>0</v>
      </c>
      <c r="Y20" s="51">
        <f t="shared" si="7"/>
        <v>0</v>
      </c>
      <c r="Z20" s="51">
        <f t="shared" si="7"/>
        <v>0</v>
      </c>
      <c r="AA20" s="51">
        <f t="shared" si="7"/>
        <v>0</v>
      </c>
      <c r="AB20" s="51">
        <f t="shared" si="7"/>
        <v>0</v>
      </c>
      <c r="AC20" s="51">
        <f t="shared" si="7"/>
        <v>0</v>
      </c>
      <c r="AD20" s="51">
        <f t="shared" si="7"/>
        <v>0</v>
      </c>
      <c r="AF20" s="59" t="s">
        <v>121</v>
      </c>
      <c r="AG20" s="59" t="s">
        <v>45</v>
      </c>
      <c r="AH20" s="59" t="s">
        <v>18</v>
      </c>
    </row>
    <row r="21" spans="2:37" x14ac:dyDescent="0.25"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2:37" x14ac:dyDescent="0.25">
      <c r="B22" t="s">
        <v>74</v>
      </c>
      <c r="C22" t="s">
        <v>66</v>
      </c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F22" s="50">
        <f>SUM(E22:Q22)</f>
        <v>0</v>
      </c>
      <c r="AG22" s="50">
        <f>SUM(S22:AD22)</f>
        <v>0</v>
      </c>
      <c r="AH22" s="50">
        <f>AG22-AF22</f>
        <v>0</v>
      </c>
    </row>
    <row r="23" spans="2:37" x14ac:dyDescent="0.25">
      <c r="B23" t="s">
        <v>75</v>
      </c>
      <c r="C23" t="s">
        <v>67</v>
      </c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F23" s="50">
        <f>SUM(E23:Q23)</f>
        <v>0</v>
      </c>
      <c r="AG23" s="50">
        <f>SUM(S23:AD23)</f>
        <v>0</v>
      </c>
      <c r="AH23" s="50">
        <f>AG23-AF23</f>
        <v>0</v>
      </c>
    </row>
    <row r="24" spans="2:37" x14ac:dyDescent="0.25">
      <c r="B24" t="s">
        <v>76</v>
      </c>
      <c r="C24" t="s">
        <v>68</v>
      </c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F24" s="50">
        <f>SUM(E24:Q24)</f>
        <v>0</v>
      </c>
      <c r="AG24" s="50">
        <f>SUM(S24:AD24)</f>
        <v>0</v>
      </c>
      <c r="AH24" s="50">
        <f>AG24-AF24</f>
        <v>0</v>
      </c>
    </row>
    <row r="25" spans="2:37" x14ac:dyDescent="0.25">
      <c r="B25" t="s">
        <v>77</v>
      </c>
      <c r="C25" t="s">
        <v>69</v>
      </c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F25" s="50">
        <f>SUM(E25:Q25)</f>
        <v>0</v>
      </c>
      <c r="AG25" s="50">
        <f>SUM(S25:AD25)</f>
        <v>0</v>
      </c>
      <c r="AH25" s="50">
        <f>AG25-AF25</f>
        <v>0</v>
      </c>
    </row>
    <row r="26" spans="2:37" s="47" customFormat="1" x14ac:dyDescent="0.25">
      <c r="B26" t="s">
        <v>78</v>
      </c>
      <c r="C26" s="47" t="s">
        <v>70</v>
      </c>
      <c r="E26" s="50"/>
      <c r="F26" s="49">
        <f t="shared" ref="F26:AD26" si="8">SUM(F22:F23)-SUM(F24:F25)</f>
        <v>0</v>
      </c>
      <c r="G26" s="49">
        <f t="shared" si="8"/>
        <v>0</v>
      </c>
      <c r="H26" s="49">
        <f t="shared" si="8"/>
        <v>0</v>
      </c>
      <c r="I26" s="49">
        <f t="shared" si="8"/>
        <v>0</v>
      </c>
      <c r="J26" s="49">
        <f t="shared" si="8"/>
        <v>0</v>
      </c>
      <c r="K26" s="49">
        <f t="shared" si="8"/>
        <v>0</v>
      </c>
      <c r="L26" s="49">
        <f t="shared" si="8"/>
        <v>0</v>
      </c>
      <c r="M26" s="49">
        <f t="shared" si="8"/>
        <v>0</v>
      </c>
      <c r="N26" s="49">
        <f t="shared" si="8"/>
        <v>0</v>
      </c>
      <c r="O26" s="49">
        <f t="shared" si="8"/>
        <v>0</v>
      </c>
      <c r="P26" s="49">
        <f t="shared" si="8"/>
        <v>0</v>
      </c>
      <c r="Q26" s="49">
        <f t="shared" si="8"/>
        <v>0</v>
      </c>
      <c r="S26" s="49">
        <f t="shared" si="8"/>
        <v>0</v>
      </c>
      <c r="T26" s="49">
        <f t="shared" si="8"/>
        <v>0</v>
      </c>
      <c r="U26" s="49">
        <f t="shared" si="8"/>
        <v>0</v>
      </c>
      <c r="V26" s="49">
        <f t="shared" si="8"/>
        <v>0</v>
      </c>
      <c r="W26" s="49">
        <f t="shared" si="8"/>
        <v>0</v>
      </c>
      <c r="X26" s="49">
        <f t="shared" si="8"/>
        <v>0</v>
      </c>
      <c r="Y26" s="49">
        <f t="shared" si="8"/>
        <v>0</v>
      </c>
      <c r="Z26" s="49">
        <f t="shared" si="8"/>
        <v>0</v>
      </c>
      <c r="AA26" s="49">
        <f t="shared" si="8"/>
        <v>0</v>
      </c>
      <c r="AB26" s="49">
        <f t="shared" si="8"/>
        <v>0</v>
      </c>
      <c r="AC26" s="49">
        <f t="shared" si="8"/>
        <v>0</v>
      </c>
      <c r="AD26" s="49">
        <f t="shared" si="8"/>
        <v>0</v>
      </c>
      <c r="AF26" s="50">
        <f>SUM(E26:Q26)</f>
        <v>0</v>
      </c>
      <c r="AG26" s="50">
        <f>SUM(S26:AD26)</f>
        <v>0</v>
      </c>
      <c r="AH26" s="50">
        <f>AG26-AF26</f>
        <v>0</v>
      </c>
    </row>
    <row r="27" spans="2:37" x14ac:dyDescent="0.25"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F27" s="47"/>
      <c r="AG27" s="47"/>
      <c r="AH27" s="47"/>
    </row>
    <row r="28" spans="2:37" x14ac:dyDescent="0.25">
      <c r="B28" t="s">
        <v>79</v>
      </c>
      <c r="C28" t="s">
        <v>33</v>
      </c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F28" s="50">
        <f>SUM(E28:Q28)</f>
        <v>0</v>
      </c>
      <c r="AG28" s="50">
        <f>SUM(S28:AD28)</f>
        <v>0</v>
      </c>
      <c r="AH28" s="50">
        <f>AG28-AF28</f>
        <v>0</v>
      </c>
    </row>
    <row r="29" spans="2:37" x14ac:dyDescent="0.25">
      <c r="B29" t="s">
        <v>80</v>
      </c>
      <c r="C29" t="s">
        <v>23</v>
      </c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F29" s="50">
        <f>SUM(E29:Q29)</f>
        <v>0</v>
      </c>
      <c r="AG29" s="50">
        <f>SUM(S29:AD29)</f>
        <v>0</v>
      </c>
      <c r="AH29" s="50">
        <f>AG29-AF29</f>
        <v>0</v>
      </c>
    </row>
    <row r="30" spans="2:37" x14ac:dyDescent="0.25"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spans="2:37" x14ac:dyDescent="0.25">
      <c r="B31" t="s">
        <v>81</v>
      </c>
      <c r="C31" t="s">
        <v>71</v>
      </c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F31" s="50">
        <f>SUM(E31:Q31)</f>
        <v>0</v>
      </c>
      <c r="AG31" s="50">
        <f>SUM(S31:AD31)</f>
        <v>0</v>
      </c>
      <c r="AH31" s="50">
        <f>AG31-AF31</f>
        <v>0</v>
      </c>
    </row>
    <row r="32" spans="2:37" x14ac:dyDescent="0.25">
      <c r="B32" t="s">
        <v>82</v>
      </c>
      <c r="C32" t="s">
        <v>24</v>
      </c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F32" s="50">
        <f>SUM(E32:Q32)</f>
        <v>0</v>
      </c>
      <c r="AG32" s="50">
        <f>SUM(S32:AD32)</f>
        <v>0</v>
      </c>
      <c r="AH32" s="50">
        <f>AG32-AF32</f>
        <v>0</v>
      </c>
    </row>
    <row r="33" spans="2:34" x14ac:dyDescent="0.25"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2:34" x14ac:dyDescent="0.25">
      <c r="C34" s="47" t="s">
        <v>172</v>
      </c>
      <c r="E34" s="50"/>
      <c r="F34" s="96">
        <f>F26+F28-F29-F32</f>
        <v>0</v>
      </c>
      <c r="G34" s="96">
        <f t="shared" ref="G34:AD34" si="9">G26+G28-G29-G32</f>
        <v>0</v>
      </c>
      <c r="H34" s="96">
        <f t="shared" si="9"/>
        <v>0</v>
      </c>
      <c r="I34" s="96">
        <f t="shared" si="9"/>
        <v>0</v>
      </c>
      <c r="J34" s="96">
        <f t="shared" si="9"/>
        <v>0</v>
      </c>
      <c r="K34" s="96">
        <f t="shared" si="9"/>
        <v>0</v>
      </c>
      <c r="L34" s="96">
        <f t="shared" si="9"/>
        <v>0</v>
      </c>
      <c r="M34" s="96">
        <f t="shared" si="9"/>
        <v>0</v>
      </c>
      <c r="N34" s="96">
        <f t="shared" si="9"/>
        <v>0</v>
      </c>
      <c r="O34" s="96">
        <f t="shared" si="9"/>
        <v>0</v>
      </c>
      <c r="P34" s="96">
        <f t="shared" si="9"/>
        <v>0</v>
      </c>
      <c r="Q34" s="96">
        <f t="shared" si="9"/>
        <v>0</v>
      </c>
      <c r="S34" s="96">
        <f t="shared" si="9"/>
        <v>0</v>
      </c>
      <c r="T34" s="96">
        <f t="shared" si="9"/>
        <v>0</v>
      </c>
      <c r="U34" s="96">
        <f t="shared" si="9"/>
        <v>0</v>
      </c>
      <c r="V34" s="96">
        <f t="shared" si="9"/>
        <v>0</v>
      </c>
      <c r="W34" s="96">
        <f t="shared" si="9"/>
        <v>0</v>
      </c>
      <c r="X34" s="96">
        <f t="shared" si="9"/>
        <v>0</v>
      </c>
      <c r="Y34" s="96">
        <f t="shared" si="9"/>
        <v>0</v>
      </c>
      <c r="Z34" s="96">
        <f t="shared" si="9"/>
        <v>0</v>
      </c>
      <c r="AA34" s="96">
        <f t="shared" si="9"/>
        <v>0</v>
      </c>
      <c r="AB34" s="96">
        <f t="shared" si="9"/>
        <v>0</v>
      </c>
      <c r="AC34" s="96">
        <f t="shared" si="9"/>
        <v>0</v>
      </c>
      <c r="AD34" s="96">
        <f t="shared" si="9"/>
        <v>0</v>
      </c>
    </row>
    <row r="35" spans="2:34" x14ac:dyDescent="0.25"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2:34" x14ac:dyDescent="0.25">
      <c r="B36" t="s">
        <v>83</v>
      </c>
      <c r="C36" t="s">
        <v>72</v>
      </c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2:34" x14ac:dyDescent="0.25"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2:34" s="47" customFormat="1" ht="15.75" thickBot="1" x14ac:dyDescent="0.3">
      <c r="B38" s="47" t="s">
        <v>84</v>
      </c>
      <c r="C38" s="47" t="s">
        <v>73</v>
      </c>
      <c r="E38" s="50"/>
      <c r="F38" s="52">
        <f t="shared" ref="F38:AD38" si="10">SUM(F26,F28,F36)-SUM(F29,F32)</f>
        <v>0</v>
      </c>
      <c r="G38" s="52">
        <f t="shared" si="10"/>
        <v>0</v>
      </c>
      <c r="H38" s="52">
        <f t="shared" si="10"/>
        <v>0</v>
      </c>
      <c r="I38" s="52">
        <f t="shared" si="10"/>
        <v>0</v>
      </c>
      <c r="J38" s="52">
        <f t="shared" si="10"/>
        <v>0</v>
      </c>
      <c r="K38" s="52">
        <f t="shared" si="10"/>
        <v>0</v>
      </c>
      <c r="L38" s="52">
        <f t="shared" si="10"/>
        <v>0</v>
      </c>
      <c r="M38" s="52">
        <f t="shared" si="10"/>
        <v>0</v>
      </c>
      <c r="N38" s="52">
        <f t="shared" si="10"/>
        <v>0</v>
      </c>
      <c r="O38" s="52">
        <f t="shared" si="10"/>
        <v>0</v>
      </c>
      <c r="P38" s="52">
        <f t="shared" si="10"/>
        <v>0</v>
      </c>
      <c r="Q38" s="52">
        <f t="shared" si="10"/>
        <v>0</v>
      </c>
      <c r="S38" s="52">
        <f t="shared" si="10"/>
        <v>0</v>
      </c>
      <c r="T38" s="52">
        <f t="shared" si="10"/>
        <v>0</v>
      </c>
      <c r="U38" s="52">
        <f t="shared" si="10"/>
        <v>0</v>
      </c>
      <c r="V38" s="52">
        <f t="shared" si="10"/>
        <v>0</v>
      </c>
      <c r="W38" s="52">
        <f t="shared" si="10"/>
        <v>0</v>
      </c>
      <c r="X38" s="52">
        <f t="shared" si="10"/>
        <v>0</v>
      </c>
      <c r="Y38" s="52">
        <f t="shared" si="10"/>
        <v>0</v>
      </c>
      <c r="Z38" s="52">
        <f t="shared" si="10"/>
        <v>0</v>
      </c>
      <c r="AA38" s="52">
        <f t="shared" si="10"/>
        <v>0</v>
      </c>
      <c r="AB38" s="52">
        <f t="shared" si="10"/>
        <v>0</v>
      </c>
      <c r="AC38" s="52">
        <f t="shared" si="10"/>
        <v>0</v>
      </c>
      <c r="AD38" s="52">
        <f t="shared" si="10"/>
        <v>0</v>
      </c>
    </row>
    <row r="39" spans="2:34" ht="15.75" thickTop="1" x14ac:dyDescent="0.25">
      <c r="E39" s="50"/>
    </row>
    <row r="40" spans="2:34" hidden="1" x14ac:dyDescent="0.25">
      <c r="E40" s="50"/>
      <c r="F40" s="54">
        <v>1</v>
      </c>
      <c r="G40" s="54">
        <v>2</v>
      </c>
      <c r="H40" s="54">
        <v>3</v>
      </c>
      <c r="I40" s="54">
        <v>4</v>
      </c>
      <c r="J40" s="54">
        <v>5</v>
      </c>
      <c r="K40" s="54">
        <v>6</v>
      </c>
      <c r="L40" s="54">
        <v>7</v>
      </c>
      <c r="M40" s="54">
        <v>8</v>
      </c>
      <c r="N40" s="54">
        <v>9</v>
      </c>
      <c r="O40" s="54">
        <v>10</v>
      </c>
      <c r="P40" s="54">
        <v>11</v>
      </c>
      <c r="Q40" s="54">
        <v>12</v>
      </c>
      <c r="S40" s="54">
        <v>1</v>
      </c>
      <c r="T40" s="54">
        <v>2</v>
      </c>
      <c r="U40" s="54">
        <v>3</v>
      </c>
      <c r="V40" s="54">
        <v>4</v>
      </c>
      <c r="W40" s="54">
        <v>5</v>
      </c>
      <c r="X40" s="54">
        <v>6</v>
      </c>
      <c r="Y40" s="54">
        <v>7</v>
      </c>
      <c r="Z40" s="54">
        <v>8</v>
      </c>
      <c r="AA40" s="54">
        <v>9</v>
      </c>
      <c r="AB40" s="54">
        <v>10</v>
      </c>
      <c r="AC40" s="54">
        <v>11</v>
      </c>
      <c r="AD40" s="54">
        <v>12</v>
      </c>
    </row>
    <row r="41" spans="2:34" hidden="1" x14ac:dyDescent="0.25">
      <c r="E41" s="50"/>
      <c r="F41" s="54">
        <f>EOMONTH(F6,0)-EOMONTH(F6,-1)</f>
        <v>31</v>
      </c>
      <c r="G41" s="54">
        <f t="shared" ref="G41:Q41" si="11">EOMONTH(G6,0)-EOMONTH(G6,-1)</f>
        <v>28</v>
      </c>
      <c r="H41" s="54">
        <f t="shared" si="11"/>
        <v>31</v>
      </c>
      <c r="I41" s="54">
        <f t="shared" si="11"/>
        <v>30</v>
      </c>
      <c r="J41" s="54">
        <f t="shared" si="11"/>
        <v>31</v>
      </c>
      <c r="K41" s="54">
        <f t="shared" si="11"/>
        <v>30</v>
      </c>
      <c r="L41" s="54">
        <f t="shared" si="11"/>
        <v>31</v>
      </c>
      <c r="M41" s="54">
        <f t="shared" si="11"/>
        <v>31</v>
      </c>
      <c r="N41" s="54">
        <f t="shared" si="11"/>
        <v>30</v>
      </c>
      <c r="O41" s="54">
        <f t="shared" si="11"/>
        <v>31</v>
      </c>
      <c r="P41" s="54">
        <f t="shared" si="11"/>
        <v>30</v>
      </c>
      <c r="Q41" s="54">
        <f t="shared" si="11"/>
        <v>31</v>
      </c>
      <c r="S41" s="54">
        <f>EOMONTH(S6,0)-EOMONTH(S6,-1)</f>
        <v>31</v>
      </c>
      <c r="T41" s="54">
        <f t="shared" ref="T41:AD41" si="12">EOMONTH(T6,0)-EOMONTH(T6,-1)</f>
        <v>28</v>
      </c>
      <c r="U41" s="54">
        <f t="shared" si="12"/>
        <v>31</v>
      </c>
      <c r="V41" s="54">
        <f t="shared" si="12"/>
        <v>30</v>
      </c>
      <c r="W41" s="54">
        <f t="shared" si="12"/>
        <v>31</v>
      </c>
      <c r="X41" s="54">
        <f t="shared" si="12"/>
        <v>30</v>
      </c>
      <c r="Y41" s="54">
        <f t="shared" si="12"/>
        <v>31</v>
      </c>
      <c r="Z41" s="54">
        <f t="shared" si="12"/>
        <v>31</v>
      </c>
      <c r="AA41" s="54">
        <f t="shared" si="12"/>
        <v>30</v>
      </c>
      <c r="AB41" s="54">
        <f t="shared" si="12"/>
        <v>31</v>
      </c>
      <c r="AC41" s="54">
        <f t="shared" si="12"/>
        <v>30</v>
      </c>
      <c r="AD41" s="54">
        <f t="shared" si="12"/>
        <v>31</v>
      </c>
      <c r="AF41" s="59" t="s">
        <v>121</v>
      </c>
      <c r="AG41" s="59" t="s">
        <v>45</v>
      </c>
      <c r="AH41" s="59" t="s">
        <v>18</v>
      </c>
    </row>
    <row r="42" spans="2:34" hidden="1" x14ac:dyDescent="0.25"/>
    <row r="43" spans="2:34" hidden="1" x14ac:dyDescent="0.25">
      <c r="B43" t="s">
        <v>96</v>
      </c>
      <c r="C43" t="s">
        <v>31</v>
      </c>
      <c r="F43" s="2">
        <f t="shared" ref="F43:Q43" si="13">IFERROR(F22/F$41*SUM($F$41:$Q$41)/AVERAGE(E8:F8),0)</f>
        <v>0</v>
      </c>
      <c r="G43" s="2">
        <f t="shared" si="13"/>
        <v>0</v>
      </c>
      <c r="H43" s="2">
        <f t="shared" si="13"/>
        <v>0</v>
      </c>
      <c r="I43" s="2">
        <f t="shared" si="13"/>
        <v>0</v>
      </c>
      <c r="J43" s="2">
        <f t="shared" si="13"/>
        <v>0</v>
      </c>
      <c r="K43" s="2">
        <f t="shared" si="13"/>
        <v>0</v>
      </c>
      <c r="L43" s="2">
        <f t="shared" si="13"/>
        <v>0</v>
      </c>
      <c r="M43" s="2">
        <f t="shared" si="13"/>
        <v>0</v>
      </c>
      <c r="N43" s="2">
        <f t="shared" si="13"/>
        <v>0</v>
      </c>
      <c r="O43" s="2">
        <f t="shared" si="13"/>
        <v>0</v>
      </c>
      <c r="P43" s="2">
        <f t="shared" si="13"/>
        <v>0</v>
      </c>
      <c r="Q43" s="2">
        <f t="shared" si="13"/>
        <v>0</v>
      </c>
      <c r="S43" s="2">
        <f>IFERROR(S22/S$41*SUM($S$41:$AD$41)/AVERAGE(Q8,S8),0)</f>
        <v>0</v>
      </c>
      <c r="T43" s="2">
        <f t="shared" ref="T43:AD43" si="14">IFERROR(T22/T$41*SUM($S$41:$AD$41)/AVERAGE(S8:T8),0)</f>
        <v>0</v>
      </c>
      <c r="U43" s="2">
        <f t="shared" si="14"/>
        <v>0</v>
      </c>
      <c r="V43" s="2">
        <f t="shared" si="14"/>
        <v>0</v>
      </c>
      <c r="W43" s="2">
        <f t="shared" si="14"/>
        <v>0</v>
      </c>
      <c r="X43" s="2">
        <f t="shared" si="14"/>
        <v>0</v>
      </c>
      <c r="Y43" s="2">
        <f t="shared" si="14"/>
        <v>0</v>
      </c>
      <c r="Z43" s="2">
        <f t="shared" si="14"/>
        <v>0</v>
      </c>
      <c r="AA43" s="2">
        <f t="shared" si="14"/>
        <v>0</v>
      </c>
      <c r="AB43" s="2">
        <f t="shared" si="14"/>
        <v>0</v>
      </c>
      <c r="AC43" s="2">
        <f t="shared" si="14"/>
        <v>0</v>
      </c>
      <c r="AD43" s="2">
        <f t="shared" si="14"/>
        <v>0</v>
      </c>
      <c r="AF43" s="2">
        <f>IFERROR(SUMPRODUCT(F43:Q43,F8:Q8)/SUM(F8:Q8),0)</f>
        <v>0</v>
      </c>
      <c r="AG43" s="2">
        <f>IFERROR(SUMPRODUCT(S43:AD43,S8:AD8)/SUM(S8:AD8),0)</f>
        <v>0</v>
      </c>
      <c r="AH43" s="2">
        <f>AG43-AF43</f>
        <v>0</v>
      </c>
    </row>
    <row r="44" spans="2:34" hidden="1" x14ac:dyDescent="0.25">
      <c r="B44" t="s">
        <v>97</v>
      </c>
      <c r="C44" t="s">
        <v>103</v>
      </c>
      <c r="F44" s="2">
        <f t="shared" ref="F44:Q44" si="15">IFERROR(F23/F$41*SUM($F$41:$Q$41)/AVERAGE(E9:F9),0)</f>
        <v>0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0</v>
      </c>
      <c r="K44" s="2">
        <f t="shared" si="15"/>
        <v>0</v>
      </c>
      <c r="L44" s="2">
        <f t="shared" si="15"/>
        <v>0</v>
      </c>
      <c r="M44" s="2">
        <f t="shared" si="15"/>
        <v>0</v>
      </c>
      <c r="N44" s="2">
        <f t="shared" si="15"/>
        <v>0</v>
      </c>
      <c r="O44" s="2">
        <f t="shared" si="15"/>
        <v>0</v>
      </c>
      <c r="P44" s="2">
        <f t="shared" si="15"/>
        <v>0</v>
      </c>
      <c r="Q44" s="2">
        <f t="shared" si="15"/>
        <v>0</v>
      </c>
      <c r="S44" s="2">
        <f>IFERROR(S23/S$41*SUM($S$41:$AD$41)/AVERAGE(Q9,S9),0)</f>
        <v>0</v>
      </c>
      <c r="T44" s="2">
        <f t="shared" ref="T44:AD44" si="16">IFERROR(T23/T$41*SUM($S$41:$AD$41)/AVERAGE(S9:T9),0)</f>
        <v>0</v>
      </c>
      <c r="U44" s="2">
        <f t="shared" si="16"/>
        <v>0</v>
      </c>
      <c r="V44" s="2">
        <f t="shared" si="16"/>
        <v>0</v>
      </c>
      <c r="W44" s="2">
        <f t="shared" si="16"/>
        <v>0</v>
      </c>
      <c r="X44" s="2">
        <f t="shared" si="16"/>
        <v>0</v>
      </c>
      <c r="Y44" s="2">
        <f t="shared" si="16"/>
        <v>0</v>
      </c>
      <c r="Z44" s="2">
        <f t="shared" si="16"/>
        <v>0</v>
      </c>
      <c r="AA44" s="2">
        <f t="shared" si="16"/>
        <v>0</v>
      </c>
      <c r="AB44" s="2">
        <f t="shared" si="16"/>
        <v>0</v>
      </c>
      <c r="AC44" s="2">
        <f t="shared" si="16"/>
        <v>0</v>
      </c>
      <c r="AD44" s="2">
        <f t="shared" si="16"/>
        <v>0</v>
      </c>
      <c r="AF44" s="2">
        <f>IFERROR(SUMPRODUCT(F44:Q44,F9:Q9)/SUM(F9:Q9),0)</f>
        <v>0</v>
      </c>
      <c r="AG44" s="2">
        <f>IFERROR(SUMPRODUCT(S44:AD44,S9:AD9)/SUM(S9:AD9),0)</f>
        <v>0</v>
      </c>
      <c r="AH44" s="2">
        <f t="shared" ref="AH44:AH46" si="17">AG44-AF44</f>
        <v>0</v>
      </c>
    </row>
    <row r="45" spans="2:34" hidden="1" x14ac:dyDescent="0.25">
      <c r="B45" t="s">
        <v>98</v>
      </c>
      <c r="C45" t="s">
        <v>104</v>
      </c>
      <c r="F45" s="2">
        <f t="shared" ref="F45:Q45" si="18">IFERROR(F24/F$41*SUM($F$41:$Q$41)/AVERAGE(E14:F14),0)</f>
        <v>0</v>
      </c>
      <c r="G45" s="2">
        <f t="shared" si="18"/>
        <v>0</v>
      </c>
      <c r="H45" s="2">
        <f t="shared" si="18"/>
        <v>0</v>
      </c>
      <c r="I45" s="2">
        <f t="shared" si="18"/>
        <v>0</v>
      </c>
      <c r="J45" s="2">
        <f t="shared" si="18"/>
        <v>0</v>
      </c>
      <c r="K45" s="2">
        <f t="shared" si="18"/>
        <v>0</v>
      </c>
      <c r="L45" s="2">
        <f t="shared" si="18"/>
        <v>0</v>
      </c>
      <c r="M45" s="2">
        <f t="shared" si="18"/>
        <v>0</v>
      </c>
      <c r="N45" s="2">
        <f t="shared" si="18"/>
        <v>0</v>
      </c>
      <c r="O45" s="2">
        <f t="shared" si="18"/>
        <v>0</v>
      </c>
      <c r="P45" s="2">
        <f t="shared" si="18"/>
        <v>0</v>
      </c>
      <c r="Q45" s="2">
        <f t="shared" si="18"/>
        <v>0</v>
      </c>
      <c r="S45" s="2">
        <f>IFERROR(S24/S$41*SUM($S$41:$AD$41)/AVERAGE(Q14,S14),0)</f>
        <v>0</v>
      </c>
      <c r="T45" s="2">
        <f t="shared" ref="T45:AD45" si="19">IFERROR(T24/T$41*SUM($S$41:$AD$41)/AVERAGE(S14:T14),0)</f>
        <v>0</v>
      </c>
      <c r="U45" s="2">
        <f t="shared" si="19"/>
        <v>0</v>
      </c>
      <c r="V45" s="2">
        <f t="shared" si="19"/>
        <v>0</v>
      </c>
      <c r="W45" s="2">
        <f t="shared" si="19"/>
        <v>0</v>
      </c>
      <c r="X45" s="2">
        <f t="shared" si="19"/>
        <v>0</v>
      </c>
      <c r="Y45" s="2">
        <f t="shared" si="19"/>
        <v>0</v>
      </c>
      <c r="Z45" s="2">
        <f t="shared" si="19"/>
        <v>0</v>
      </c>
      <c r="AA45" s="2">
        <f t="shared" si="19"/>
        <v>0</v>
      </c>
      <c r="AB45" s="2">
        <f t="shared" si="19"/>
        <v>0</v>
      </c>
      <c r="AC45" s="2">
        <f t="shared" si="19"/>
        <v>0</v>
      </c>
      <c r="AD45" s="2">
        <f t="shared" si="19"/>
        <v>0</v>
      </c>
      <c r="AF45" s="2">
        <f>IFERROR(SUMPRODUCT(F45:Q45,F14:Q14)/SUM(F14:Q14),0)</f>
        <v>0</v>
      </c>
      <c r="AG45" s="2">
        <f>IFERROR(SUMPRODUCT(S45:AD45,S14:AD14)/SUM(S14:AD14),0)</f>
        <v>0</v>
      </c>
      <c r="AH45" s="2">
        <f t="shared" si="17"/>
        <v>0</v>
      </c>
    </row>
    <row r="46" spans="2:34" hidden="1" x14ac:dyDescent="0.25">
      <c r="B46" t="s">
        <v>99</v>
      </c>
      <c r="C46" t="s">
        <v>105</v>
      </c>
      <c r="F46" s="2">
        <f t="shared" ref="F46:Q46" si="20">IFERROR(F25/F$41*SUM($F$41:$Q$41)/AVERAGE(E15:F15),0)</f>
        <v>0</v>
      </c>
      <c r="G46" s="2">
        <f t="shared" si="20"/>
        <v>0</v>
      </c>
      <c r="H46" s="2">
        <f t="shared" si="20"/>
        <v>0</v>
      </c>
      <c r="I46" s="2">
        <f t="shared" si="20"/>
        <v>0</v>
      </c>
      <c r="J46" s="2">
        <f t="shared" si="20"/>
        <v>0</v>
      </c>
      <c r="K46" s="2">
        <f t="shared" si="20"/>
        <v>0</v>
      </c>
      <c r="L46" s="2">
        <f t="shared" si="20"/>
        <v>0</v>
      </c>
      <c r="M46" s="2">
        <f t="shared" si="20"/>
        <v>0</v>
      </c>
      <c r="N46" s="2">
        <f t="shared" si="20"/>
        <v>0</v>
      </c>
      <c r="O46" s="2">
        <f t="shared" si="20"/>
        <v>0</v>
      </c>
      <c r="P46" s="2">
        <f t="shared" si="20"/>
        <v>0</v>
      </c>
      <c r="Q46" s="2">
        <f t="shared" si="20"/>
        <v>0</v>
      </c>
      <c r="S46" s="2">
        <f>IFERROR(S25/S$41*SUM($S$41:$AD$41)/AVERAGE(Q15,S15),0)</f>
        <v>0</v>
      </c>
      <c r="T46" s="2">
        <f t="shared" ref="T46:AD46" si="21">IFERROR(T25/T$41*SUM($S$41:$AD$41)/AVERAGE(S15:T15),0)</f>
        <v>0</v>
      </c>
      <c r="U46" s="2">
        <f t="shared" si="21"/>
        <v>0</v>
      </c>
      <c r="V46" s="2">
        <f t="shared" si="21"/>
        <v>0</v>
      </c>
      <c r="W46" s="2">
        <f t="shared" si="21"/>
        <v>0</v>
      </c>
      <c r="X46" s="2">
        <f t="shared" si="21"/>
        <v>0</v>
      </c>
      <c r="Y46" s="2">
        <f t="shared" si="21"/>
        <v>0</v>
      </c>
      <c r="Z46" s="2">
        <f t="shared" si="21"/>
        <v>0</v>
      </c>
      <c r="AA46" s="2">
        <f t="shared" si="21"/>
        <v>0</v>
      </c>
      <c r="AB46" s="2">
        <f t="shared" si="21"/>
        <v>0</v>
      </c>
      <c r="AC46" s="2">
        <f t="shared" si="21"/>
        <v>0</v>
      </c>
      <c r="AD46" s="2">
        <f t="shared" si="21"/>
        <v>0</v>
      </c>
      <c r="AF46" s="2">
        <f>IFERROR(SUMPRODUCT(F46:Q46,F15:Q15)/SUM(F15:Q15),0)</f>
        <v>0</v>
      </c>
      <c r="AG46" s="2">
        <f>IFERROR(SUMPRODUCT(S46:AD46,S15:AD15)/SUM(S15:AD15),0)</f>
        <v>0</v>
      </c>
      <c r="AH46" s="2">
        <f t="shared" si="17"/>
        <v>0</v>
      </c>
    </row>
    <row r="47" spans="2:34" hidden="1" x14ac:dyDescent="0.25">
      <c r="B47" t="s">
        <v>100</v>
      </c>
      <c r="C47" t="s">
        <v>108</v>
      </c>
      <c r="F47" s="2">
        <f t="shared" ref="F47:Q47" si="22">IFERROR(F26/F$41*SUM($F$41:$Q$41)/AVERAGE(E12:F12),0)</f>
        <v>0</v>
      </c>
      <c r="G47" s="2">
        <f t="shared" si="22"/>
        <v>0</v>
      </c>
      <c r="H47" s="2">
        <f t="shared" si="22"/>
        <v>0</v>
      </c>
      <c r="I47" s="2">
        <f t="shared" si="22"/>
        <v>0</v>
      </c>
      <c r="J47" s="2">
        <f t="shared" si="22"/>
        <v>0</v>
      </c>
      <c r="K47" s="2">
        <f t="shared" si="22"/>
        <v>0</v>
      </c>
      <c r="L47" s="2">
        <f t="shared" si="22"/>
        <v>0</v>
      </c>
      <c r="M47" s="2">
        <f t="shared" si="22"/>
        <v>0</v>
      </c>
      <c r="N47" s="2">
        <f t="shared" si="22"/>
        <v>0</v>
      </c>
      <c r="O47" s="2">
        <f t="shared" si="22"/>
        <v>0</v>
      </c>
      <c r="P47" s="2">
        <f t="shared" si="22"/>
        <v>0</v>
      </c>
      <c r="Q47" s="2">
        <f t="shared" si="22"/>
        <v>0</v>
      </c>
      <c r="S47" s="2">
        <f>IFERROR(S26/S$41*SUM($S$41:$AD$41)/AVERAGE(Q12,S12),0)</f>
        <v>0</v>
      </c>
      <c r="T47" s="2">
        <f t="shared" ref="T47:AD47" si="23">IFERROR(T26/T$41*SUM($S$41:$AD$41)/AVERAGE(S12:T12),0)</f>
        <v>0</v>
      </c>
      <c r="U47" s="2">
        <f t="shared" si="23"/>
        <v>0</v>
      </c>
      <c r="V47" s="2">
        <f t="shared" si="23"/>
        <v>0</v>
      </c>
      <c r="W47" s="2">
        <f t="shared" si="23"/>
        <v>0</v>
      </c>
      <c r="X47" s="2">
        <f t="shared" si="23"/>
        <v>0</v>
      </c>
      <c r="Y47" s="2">
        <f t="shared" si="23"/>
        <v>0</v>
      </c>
      <c r="Z47" s="2">
        <f t="shared" si="23"/>
        <v>0</v>
      </c>
      <c r="AA47" s="2">
        <f t="shared" si="23"/>
        <v>0</v>
      </c>
      <c r="AB47" s="2">
        <f t="shared" si="23"/>
        <v>0</v>
      </c>
      <c r="AC47" s="2">
        <f t="shared" si="23"/>
        <v>0</v>
      </c>
      <c r="AD47" s="2">
        <f t="shared" si="23"/>
        <v>0</v>
      </c>
      <c r="AF47" s="2">
        <f>IFERROR(SUMPRODUCT(F47:Q47,F12:Q12)/SUM(F12:Q12),0)</f>
        <v>0</v>
      </c>
      <c r="AG47" s="2">
        <f>IFERROR(SUMPRODUCT(S47:AD47,S12:AD12)/SUM(S12:AD12),0)</f>
        <v>0</v>
      </c>
      <c r="AH47" s="2">
        <f t="shared" ref="AH47" si="24">AG47-AF47</f>
        <v>0</v>
      </c>
    </row>
    <row r="48" spans="2:34" hidden="1" x14ac:dyDescent="0.25"/>
    <row r="49" spans="2:34" hidden="1" x14ac:dyDescent="0.25">
      <c r="B49" t="s">
        <v>136</v>
      </c>
      <c r="C49" t="s">
        <v>27</v>
      </c>
      <c r="F49" s="2">
        <f>IFERROR(F10/F8,0)</f>
        <v>0</v>
      </c>
      <c r="G49" s="2">
        <f t="shared" ref="G49:AD49" si="25">IFERROR(G10/G8,0)</f>
        <v>0</v>
      </c>
      <c r="H49" s="2">
        <f t="shared" si="25"/>
        <v>0</v>
      </c>
      <c r="I49" s="2">
        <f t="shared" si="25"/>
        <v>0</v>
      </c>
      <c r="J49" s="2">
        <f t="shared" si="25"/>
        <v>0</v>
      </c>
      <c r="K49" s="2">
        <f t="shared" si="25"/>
        <v>0</v>
      </c>
      <c r="L49" s="2">
        <f t="shared" si="25"/>
        <v>0</v>
      </c>
      <c r="M49" s="2">
        <f t="shared" si="25"/>
        <v>0</v>
      </c>
      <c r="N49" s="2">
        <f t="shared" si="25"/>
        <v>0</v>
      </c>
      <c r="O49" s="2">
        <f t="shared" si="25"/>
        <v>0</v>
      </c>
      <c r="P49" s="2">
        <f t="shared" si="25"/>
        <v>0</v>
      </c>
      <c r="Q49" s="2">
        <f t="shared" si="25"/>
        <v>0</v>
      </c>
      <c r="S49" s="2">
        <f t="shared" si="25"/>
        <v>0</v>
      </c>
      <c r="T49" s="2">
        <f t="shared" si="25"/>
        <v>0</v>
      </c>
      <c r="U49" s="2">
        <f t="shared" si="25"/>
        <v>0</v>
      </c>
      <c r="V49" s="2">
        <f t="shared" si="25"/>
        <v>0</v>
      </c>
      <c r="W49" s="2">
        <f t="shared" si="25"/>
        <v>0</v>
      </c>
      <c r="X49" s="2">
        <f t="shared" si="25"/>
        <v>0</v>
      </c>
      <c r="Y49" s="2">
        <f t="shared" si="25"/>
        <v>0</v>
      </c>
      <c r="Z49" s="2">
        <f t="shared" si="25"/>
        <v>0</v>
      </c>
      <c r="AA49" s="2">
        <f t="shared" si="25"/>
        <v>0</v>
      </c>
      <c r="AB49" s="2">
        <f t="shared" si="25"/>
        <v>0</v>
      </c>
      <c r="AC49" s="2">
        <f t="shared" si="25"/>
        <v>0</v>
      </c>
      <c r="AD49" s="2">
        <f t="shared" si="25"/>
        <v>0</v>
      </c>
    </row>
    <row r="50" spans="2:34" hidden="1" x14ac:dyDescent="0.25">
      <c r="B50" t="s">
        <v>137</v>
      </c>
      <c r="C50" t="s">
        <v>128</v>
      </c>
      <c r="F50" s="1">
        <f>IFERROR(SUM(F10,F17)/F8,0)</f>
        <v>0</v>
      </c>
      <c r="G50" s="1">
        <f t="shared" ref="G50:Q50" si="26">IFERROR(SUM(G10,G17)/G8,0)</f>
        <v>0</v>
      </c>
      <c r="H50" s="1">
        <f t="shared" si="26"/>
        <v>0</v>
      </c>
      <c r="I50" s="1">
        <f t="shared" si="26"/>
        <v>0</v>
      </c>
      <c r="J50" s="1">
        <f t="shared" si="26"/>
        <v>0</v>
      </c>
      <c r="K50" s="1">
        <f t="shared" si="26"/>
        <v>0</v>
      </c>
      <c r="L50" s="1">
        <f t="shared" si="26"/>
        <v>0</v>
      </c>
      <c r="M50" s="1">
        <f t="shared" si="26"/>
        <v>0</v>
      </c>
      <c r="N50" s="1">
        <f t="shared" si="26"/>
        <v>0</v>
      </c>
      <c r="O50" s="1">
        <f t="shared" si="26"/>
        <v>0</v>
      </c>
      <c r="P50" s="1">
        <f t="shared" si="26"/>
        <v>0</v>
      </c>
      <c r="Q50" s="1">
        <f t="shared" si="26"/>
        <v>0</v>
      </c>
      <c r="S50" s="1">
        <f>IFERROR(SUM(S10,S17)/S8,0)</f>
        <v>0</v>
      </c>
      <c r="T50" s="1">
        <f t="shared" ref="T50:AD50" si="27">IFERROR(SUM(T10,T17)/T8,0)</f>
        <v>0</v>
      </c>
      <c r="U50" s="1">
        <f t="shared" si="27"/>
        <v>0</v>
      </c>
      <c r="V50" s="1">
        <f t="shared" si="27"/>
        <v>0</v>
      </c>
      <c r="W50" s="1">
        <f t="shared" si="27"/>
        <v>0</v>
      </c>
      <c r="X50" s="1">
        <f t="shared" si="27"/>
        <v>0</v>
      </c>
      <c r="Y50" s="1">
        <f t="shared" si="27"/>
        <v>0</v>
      </c>
      <c r="Z50" s="1">
        <f t="shared" si="27"/>
        <v>0</v>
      </c>
      <c r="AA50" s="1">
        <f t="shared" si="27"/>
        <v>0</v>
      </c>
      <c r="AB50" s="1">
        <f t="shared" si="27"/>
        <v>0</v>
      </c>
      <c r="AC50" s="1">
        <f t="shared" si="27"/>
        <v>0</v>
      </c>
      <c r="AD50" s="1">
        <f t="shared" si="27"/>
        <v>0</v>
      </c>
    </row>
    <row r="51" spans="2:34" hidden="1" x14ac:dyDescent="0.25">
      <c r="B51" t="s">
        <v>138</v>
      </c>
      <c r="C51" t="s">
        <v>145</v>
      </c>
      <c r="F51" s="1">
        <f>IFERROR(F17/F12,0)</f>
        <v>0</v>
      </c>
      <c r="G51" s="1">
        <f t="shared" ref="G51:AD51" si="28">IFERROR(G17/G12,0)</f>
        <v>0</v>
      </c>
      <c r="H51" s="1">
        <f t="shared" si="28"/>
        <v>0</v>
      </c>
      <c r="I51" s="1">
        <f t="shared" si="28"/>
        <v>0</v>
      </c>
      <c r="J51" s="1">
        <f t="shared" si="28"/>
        <v>0</v>
      </c>
      <c r="K51" s="1">
        <f t="shared" si="28"/>
        <v>0</v>
      </c>
      <c r="L51" s="1">
        <f t="shared" si="28"/>
        <v>0</v>
      </c>
      <c r="M51" s="1">
        <f t="shared" si="28"/>
        <v>0</v>
      </c>
      <c r="N51" s="1">
        <f t="shared" si="28"/>
        <v>0</v>
      </c>
      <c r="O51" s="1">
        <f t="shared" si="28"/>
        <v>0</v>
      </c>
      <c r="P51" s="1">
        <f t="shared" si="28"/>
        <v>0</v>
      </c>
      <c r="Q51" s="1">
        <f t="shared" si="28"/>
        <v>0</v>
      </c>
      <c r="S51" s="1">
        <f t="shared" si="28"/>
        <v>0</v>
      </c>
      <c r="T51" s="1">
        <f t="shared" si="28"/>
        <v>0</v>
      </c>
      <c r="U51" s="1">
        <f t="shared" si="28"/>
        <v>0</v>
      </c>
      <c r="V51" s="1">
        <f t="shared" si="28"/>
        <v>0</v>
      </c>
      <c r="W51" s="1">
        <f t="shared" si="28"/>
        <v>0</v>
      </c>
      <c r="X51" s="1">
        <f t="shared" si="28"/>
        <v>0</v>
      </c>
      <c r="Y51" s="1">
        <f t="shared" si="28"/>
        <v>0</v>
      </c>
      <c r="Z51" s="1">
        <f t="shared" si="28"/>
        <v>0</v>
      </c>
      <c r="AA51" s="1">
        <f t="shared" si="28"/>
        <v>0</v>
      </c>
      <c r="AB51" s="1">
        <f t="shared" si="28"/>
        <v>0</v>
      </c>
      <c r="AC51" s="1">
        <f t="shared" si="28"/>
        <v>0</v>
      </c>
      <c r="AD51" s="1">
        <f t="shared" si="28"/>
        <v>0</v>
      </c>
    </row>
    <row r="52" spans="2:34" hidden="1" x14ac:dyDescent="0.25"/>
    <row r="53" spans="2:34" hidden="1" x14ac:dyDescent="0.25">
      <c r="B53" t="s">
        <v>129</v>
      </c>
      <c r="C53" t="s">
        <v>152</v>
      </c>
      <c r="F53" s="1">
        <f>IFERROR(F29/SUM(F26,F28),0)</f>
        <v>0</v>
      </c>
      <c r="G53" s="1">
        <f t="shared" ref="G53:AD53" si="29">IFERROR(G29/SUM(G26,G28),0)</f>
        <v>0</v>
      </c>
      <c r="H53" s="1">
        <f t="shared" si="29"/>
        <v>0</v>
      </c>
      <c r="I53" s="1">
        <f t="shared" si="29"/>
        <v>0</v>
      </c>
      <c r="J53" s="1">
        <f t="shared" si="29"/>
        <v>0</v>
      </c>
      <c r="K53" s="1">
        <f t="shared" si="29"/>
        <v>0</v>
      </c>
      <c r="L53" s="1">
        <f t="shared" si="29"/>
        <v>0</v>
      </c>
      <c r="M53" s="1">
        <f t="shared" si="29"/>
        <v>0</v>
      </c>
      <c r="N53" s="1">
        <f t="shared" si="29"/>
        <v>0</v>
      </c>
      <c r="O53" s="1">
        <f t="shared" si="29"/>
        <v>0</v>
      </c>
      <c r="P53" s="1">
        <f t="shared" si="29"/>
        <v>0</v>
      </c>
      <c r="Q53" s="1">
        <f t="shared" si="29"/>
        <v>0</v>
      </c>
      <c r="S53" s="1">
        <f t="shared" si="29"/>
        <v>0</v>
      </c>
      <c r="T53" s="1">
        <f t="shared" si="29"/>
        <v>0</v>
      </c>
      <c r="U53" s="1">
        <f t="shared" si="29"/>
        <v>0</v>
      </c>
      <c r="V53" s="1">
        <f t="shared" si="29"/>
        <v>0</v>
      </c>
      <c r="W53" s="1">
        <f t="shared" si="29"/>
        <v>0</v>
      </c>
      <c r="X53" s="1">
        <f t="shared" si="29"/>
        <v>0</v>
      </c>
      <c r="Y53" s="1">
        <f t="shared" si="29"/>
        <v>0</v>
      </c>
      <c r="Z53" s="1">
        <f t="shared" si="29"/>
        <v>0</v>
      </c>
      <c r="AA53" s="1">
        <f t="shared" si="29"/>
        <v>0</v>
      </c>
      <c r="AB53" s="1">
        <f t="shared" si="29"/>
        <v>0</v>
      </c>
      <c r="AC53" s="1">
        <f t="shared" si="29"/>
        <v>0</v>
      </c>
      <c r="AD53" s="1">
        <f t="shared" si="29"/>
        <v>0</v>
      </c>
      <c r="AF53" s="1">
        <f>IFERROR(AF29/SUM(AF26,AF28),0)</f>
        <v>0</v>
      </c>
      <c r="AG53" s="1">
        <f>IFERROR(AG29/SUM(AG26,AG28),0)</f>
        <v>0</v>
      </c>
      <c r="AH53" s="1">
        <f>AG53-AF53</f>
        <v>0</v>
      </c>
    </row>
    <row r="54" spans="2:34" hidden="1" x14ac:dyDescent="0.25">
      <c r="B54" t="s">
        <v>130</v>
      </c>
      <c r="C54" t="s">
        <v>153</v>
      </c>
      <c r="F54" s="2">
        <f>IFERROR(((F29-F28)*12)/SUM(F8,F14),0)</f>
        <v>0</v>
      </c>
      <c r="G54" s="2">
        <f t="shared" ref="G54:AD54" si="30">IFERROR(((G29-G28)*12)/SUM(G8,G14),0)</f>
        <v>0</v>
      </c>
      <c r="H54" s="2">
        <f t="shared" si="30"/>
        <v>0</v>
      </c>
      <c r="I54" s="2">
        <f t="shared" si="30"/>
        <v>0</v>
      </c>
      <c r="J54" s="2">
        <f t="shared" si="30"/>
        <v>0</v>
      </c>
      <c r="K54" s="2">
        <f t="shared" si="30"/>
        <v>0</v>
      </c>
      <c r="L54" s="2">
        <f t="shared" si="30"/>
        <v>0</v>
      </c>
      <c r="M54" s="2">
        <f t="shared" si="30"/>
        <v>0</v>
      </c>
      <c r="N54" s="2">
        <f t="shared" si="30"/>
        <v>0</v>
      </c>
      <c r="O54" s="2">
        <f t="shared" si="30"/>
        <v>0</v>
      </c>
      <c r="P54" s="2">
        <f t="shared" si="30"/>
        <v>0</v>
      </c>
      <c r="Q54" s="2">
        <f t="shared" si="30"/>
        <v>0</v>
      </c>
      <c r="S54" s="2">
        <f t="shared" si="30"/>
        <v>0</v>
      </c>
      <c r="T54" s="2">
        <f t="shared" si="30"/>
        <v>0</v>
      </c>
      <c r="U54" s="2">
        <f t="shared" si="30"/>
        <v>0</v>
      </c>
      <c r="V54" s="2">
        <f t="shared" si="30"/>
        <v>0</v>
      </c>
      <c r="W54" s="2">
        <f t="shared" si="30"/>
        <v>0</v>
      </c>
      <c r="X54" s="2">
        <f t="shared" si="30"/>
        <v>0</v>
      </c>
      <c r="Y54" s="2">
        <f t="shared" si="30"/>
        <v>0</v>
      </c>
      <c r="Z54" s="2">
        <f t="shared" si="30"/>
        <v>0</v>
      </c>
      <c r="AA54" s="2">
        <f t="shared" si="30"/>
        <v>0</v>
      </c>
      <c r="AB54" s="2">
        <f t="shared" si="30"/>
        <v>0</v>
      </c>
      <c r="AC54" s="2">
        <f t="shared" si="30"/>
        <v>0</v>
      </c>
      <c r="AD54" s="2">
        <f t="shared" si="30"/>
        <v>0</v>
      </c>
      <c r="AF54" s="2">
        <f>IFERROR((AF29-AF28)/SUM(AF8,AF14),0)</f>
        <v>0</v>
      </c>
      <c r="AG54" s="2">
        <f>IFERROR((AG29-AG28)/SUM(AG8,AG14),0)</f>
        <v>0</v>
      </c>
      <c r="AH54" s="2">
        <f t="shared" ref="AH54" si="31">AG54-AF54</f>
        <v>0</v>
      </c>
    </row>
    <row r="55" spans="2:34" hidden="1" x14ac:dyDescent="0.25"/>
    <row r="56" spans="2:34" hidden="1" x14ac:dyDescent="0.25">
      <c r="B56" t="s">
        <v>131</v>
      </c>
      <c r="C56" t="s">
        <v>125</v>
      </c>
      <c r="F56" s="1">
        <f t="shared" ref="F56:Q56" si="32">IFERROR(F8/F$12,0)</f>
        <v>0</v>
      </c>
      <c r="G56" s="1">
        <f t="shared" si="32"/>
        <v>0</v>
      </c>
      <c r="H56" s="1">
        <f t="shared" si="32"/>
        <v>0</v>
      </c>
      <c r="I56" s="1">
        <f t="shared" si="32"/>
        <v>0</v>
      </c>
      <c r="J56" s="1">
        <f t="shared" si="32"/>
        <v>0</v>
      </c>
      <c r="K56" s="1">
        <f t="shared" si="32"/>
        <v>0</v>
      </c>
      <c r="L56" s="1">
        <f t="shared" si="32"/>
        <v>0</v>
      </c>
      <c r="M56" s="1">
        <f t="shared" si="32"/>
        <v>0</v>
      </c>
      <c r="N56" s="1">
        <f t="shared" si="32"/>
        <v>0</v>
      </c>
      <c r="O56" s="1">
        <f t="shared" si="32"/>
        <v>0</v>
      </c>
      <c r="P56" s="1">
        <f t="shared" si="32"/>
        <v>0</v>
      </c>
      <c r="Q56" s="1">
        <f t="shared" si="32"/>
        <v>0</v>
      </c>
      <c r="S56" s="1">
        <f t="shared" ref="S56:AD56" si="33">IFERROR(S8/S$12,0)</f>
        <v>0</v>
      </c>
      <c r="T56" s="1">
        <f t="shared" si="33"/>
        <v>0</v>
      </c>
      <c r="U56" s="1">
        <f t="shared" si="33"/>
        <v>0</v>
      </c>
      <c r="V56" s="1">
        <f t="shared" si="33"/>
        <v>0</v>
      </c>
      <c r="W56" s="1">
        <f t="shared" si="33"/>
        <v>0</v>
      </c>
      <c r="X56" s="1">
        <f t="shared" si="33"/>
        <v>0</v>
      </c>
      <c r="Y56" s="1">
        <f t="shared" si="33"/>
        <v>0</v>
      </c>
      <c r="Z56" s="1">
        <f t="shared" si="33"/>
        <v>0</v>
      </c>
      <c r="AA56" s="1">
        <f t="shared" si="33"/>
        <v>0</v>
      </c>
      <c r="AB56" s="1">
        <f t="shared" si="33"/>
        <v>0</v>
      </c>
      <c r="AC56" s="1">
        <f t="shared" si="33"/>
        <v>0</v>
      </c>
      <c r="AD56" s="1">
        <f t="shared" si="33"/>
        <v>0</v>
      </c>
    </row>
    <row r="57" spans="2:34" hidden="1" x14ac:dyDescent="0.25">
      <c r="B57" t="s">
        <v>132</v>
      </c>
      <c r="C57" t="s">
        <v>126</v>
      </c>
      <c r="F57" s="1">
        <f t="shared" ref="F57:Q57" si="34">IFERROR(F14/F$12,0)</f>
        <v>0</v>
      </c>
      <c r="G57" s="1">
        <f t="shared" si="34"/>
        <v>0</v>
      </c>
      <c r="H57" s="1">
        <f t="shared" si="34"/>
        <v>0</v>
      </c>
      <c r="I57" s="1">
        <f t="shared" si="34"/>
        <v>0</v>
      </c>
      <c r="J57" s="1">
        <f t="shared" si="34"/>
        <v>0</v>
      </c>
      <c r="K57" s="1">
        <f t="shared" si="34"/>
        <v>0</v>
      </c>
      <c r="L57" s="1">
        <f t="shared" si="34"/>
        <v>0</v>
      </c>
      <c r="M57" s="1">
        <f t="shared" si="34"/>
        <v>0</v>
      </c>
      <c r="N57" s="1">
        <f t="shared" si="34"/>
        <v>0</v>
      </c>
      <c r="O57" s="1">
        <f t="shared" si="34"/>
        <v>0</v>
      </c>
      <c r="P57" s="1">
        <f t="shared" si="34"/>
        <v>0</v>
      </c>
      <c r="Q57" s="1">
        <f t="shared" si="34"/>
        <v>0</v>
      </c>
      <c r="S57" s="1">
        <f t="shared" ref="S57:AD57" si="35">IFERROR(S14/S$12,0)</f>
        <v>0</v>
      </c>
      <c r="T57" s="1">
        <f t="shared" si="35"/>
        <v>0</v>
      </c>
      <c r="U57" s="1">
        <f t="shared" si="35"/>
        <v>0</v>
      </c>
      <c r="V57" s="1">
        <f t="shared" si="35"/>
        <v>0</v>
      </c>
      <c r="W57" s="1">
        <f t="shared" si="35"/>
        <v>0</v>
      </c>
      <c r="X57" s="1">
        <f t="shared" si="35"/>
        <v>0</v>
      </c>
      <c r="Y57" s="1">
        <f t="shared" si="35"/>
        <v>0</v>
      </c>
      <c r="Z57" s="1">
        <f t="shared" si="35"/>
        <v>0</v>
      </c>
      <c r="AA57" s="1">
        <f t="shared" si="35"/>
        <v>0</v>
      </c>
      <c r="AB57" s="1">
        <f t="shared" si="35"/>
        <v>0</v>
      </c>
      <c r="AC57" s="1">
        <f t="shared" si="35"/>
        <v>0</v>
      </c>
      <c r="AD57" s="1">
        <f t="shared" si="35"/>
        <v>0</v>
      </c>
    </row>
    <row r="58" spans="2:34" hidden="1" x14ac:dyDescent="0.25">
      <c r="B58" t="s">
        <v>133</v>
      </c>
      <c r="C58" t="s">
        <v>169</v>
      </c>
      <c r="F58" s="1">
        <f>IFERROR(SUM($F28:F28)/SUM($F29:F29),0)</f>
        <v>0</v>
      </c>
      <c r="G58" s="1">
        <f>IFERROR(SUM($F28:G28)/SUM($F29:G29),0)</f>
        <v>0</v>
      </c>
      <c r="H58" s="1">
        <f>IFERROR(SUM($F28:H28)/SUM($F29:H29),0)</f>
        <v>0</v>
      </c>
      <c r="I58" s="1">
        <f>IFERROR(SUM($F28:I28)/SUM($F29:I29),0)</f>
        <v>0</v>
      </c>
      <c r="J58" s="1">
        <f>IFERROR(SUM($F28:J28)/SUM($F29:J29),0)</f>
        <v>0</v>
      </c>
      <c r="K58" s="1">
        <f>IFERROR(SUM($F28:K28)/SUM($F29:K29),0)</f>
        <v>0</v>
      </c>
      <c r="L58" s="1">
        <f>IFERROR(SUM($F28:L28)/SUM($F29:L29),0)</f>
        <v>0</v>
      </c>
      <c r="M58" s="1">
        <f>IFERROR(SUM($F28:M28)/SUM($F29:M29),0)</f>
        <v>0</v>
      </c>
      <c r="N58" s="1">
        <f>IFERROR(SUM($F28:N28)/SUM($F29:N29),0)</f>
        <v>0</v>
      </c>
      <c r="O58" s="1">
        <f>IFERROR(SUM($F28:O28)/SUM($F29:O29),0)</f>
        <v>0</v>
      </c>
      <c r="P58" s="1">
        <f>IFERROR(SUM($F28:P28)/SUM($F29:P29),0)</f>
        <v>0</v>
      </c>
      <c r="Q58" s="1">
        <f>IFERROR(SUM($F28:Q28)/SUM($F29:Q29),0)</f>
        <v>0</v>
      </c>
      <c r="S58" s="1">
        <f>IFERROR(SUM($S28:S28)/SUM($S29:S29),0)</f>
        <v>0</v>
      </c>
      <c r="T58" s="1">
        <f>IFERROR(SUM($S28:T28)/SUM($S29:T29),0)</f>
        <v>0</v>
      </c>
      <c r="U58" s="1">
        <f>IFERROR(SUM($S28:U28)/SUM($S29:U29),0)</f>
        <v>0</v>
      </c>
      <c r="V58" s="1">
        <f>IFERROR(SUM($S28:V28)/SUM($S29:V29),0)</f>
        <v>0</v>
      </c>
      <c r="W58" s="1">
        <f>IFERROR(SUM($S28:W28)/SUM($S29:W29),0)</f>
        <v>0</v>
      </c>
      <c r="X58" s="1">
        <f>IFERROR(SUM($S28:X28)/SUM($S29:X29),0)</f>
        <v>0</v>
      </c>
      <c r="Y58" s="1">
        <f>IFERROR(SUM($S28:Y28)/SUM($S29:Y29),0)</f>
        <v>0</v>
      </c>
      <c r="Z58" s="1">
        <f>IFERROR(SUM($S28:Z28)/SUM($S29:Z29),0)</f>
        <v>0</v>
      </c>
      <c r="AA58" s="1">
        <f>IFERROR(SUM($S28:AA28)/SUM($S29:AA29),0)</f>
        <v>0</v>
      </c>
      <c r="AB58" s="1">
        <f>IFERROR(SUM($S28:AB28)/SUM($S29:AB29),0)</f>
        <v>0</v>
      </c>
      <c r="AC58" s="1">
        <f>IFERROR(SUM($S28:AC28)/SUM($S29:AC29),0)</f>
        <v>0</v>
      </c>
      <c r="AD58" s="1">
        <f>IFERROR(SUM($S28:AD28)/SUM($S29:AD29),0)</f>
        <v>0</v>
      </c>
      <c r="AF58" s="1">
        <f>IFERROR(AF28/AF29,0)</f>
        <v>0</v>
      </c>
      <c r="AG58" s="1">
        <f>IFERROR(AG28/AG29,0)</f>
        <v>0</v>
      </c>
      <c r="AH58" s="1">
        <f t="shared" ref="AH58" si="36">AG58-AF58</f>
        <v>0</v>
      </c>
    </row>
    <row r="59" spans="2:34" hidden="1" x14ac:dyDescent="0.25"/>
    <row r="60" spans="2:34" hidden="1" x14ac:dyDescent="0.25">
      <c r="B60" t="s">
        <v>134</v>
      </c>
      <c r="C60" t="s">
        <v>175</v>
      </c>
      <c r="F60" s="50">
        <f>F26+F28-F29-F32</f>
        <v>0</v>
      </c>
      <c r="G60" s="50">
        <f t="shared" ref="G60:AG60" si="37">G26+G28-G29-G32</f>
        <v>0</v>
      </c>
      <c r="H60" s="50">
        <f t="shared" si="37"/>
        <v>0</v>
      </c>
      <c r="I60" s="50">
        <f t="shared" si="37"/>
        <v>0</v>
      </c>
      <c r="J60" s="50">
        <f t="shared" si="37"/>
        <v>0</v>
      </c>
      <c r="K60" s="50">
        <f t="shared" si="37"/>
        <v>0</v>
      </c>
      <c r="L60" s="50">
        <f t="shared" si="37"/>
        <v>0</v>
      </c>
      <c r="M60" s="50">
        <f t="shared" si="37"/>
        <v>0</v>
      </c>
      <c r="N60" s="50">
        <f t="shared" si="37"/>
        <v>0</v>
      </c>
      <c r="O60" s="50">
        <f t="shared" si="37"/>
        <v>0</v>
      </c>
      <c r="P60" s="50">
        <f t="shared" si="37"/>
        <v>0</v>
      </c>
      <c r="Q60" s="50">
        <f t="shared" si="37"/>
        <v>0</v>
      </c>
      <c r="S60" s="50">
        <f t="shared" si="37"/>
        <v>0</v>
      </c>
      <c r="T60" s="50">
        <f t="shared" si="37"/>
        <v>0</v>
      </c>
      <c r="U60" s="50">
        <f t="shared" si="37"/>
        <v>0</v>
      </c>
      <c r="V60" s="50">
        <f t="shared" si="37"/>
        <v>0</v>
      </c>
      <c r="W60" s="50">
        <f t="shared" si="37"/>
        <v>0</v>
      </c>
      <c r="X60" s="50">
        <f t="shared" si="37"/>
        <v>0</v>
      </c>
      <c r="Y60" s="50">
        <f t="shared" si="37"/>
        <v>0</v>
      </c>
      <c r="Z60" s="50">
        <f t="shared" si="37"/>
        <v>0</v>
      </c>
      <c r="AA60" s="50">
        <f t="shared" si="37"/>
        <v>0</v>
      </c>
      <c r="AB60" s="50">
        <f t="shared" si="37"/>
        <v>0</v>
      </c>
      <c r="AC60" s="50">
        <f t="shared" si="37"/>
        <v>0</v>
      </c>
      <c r="AD60" s="50">
        <f t="shared" si="37"/>
        <v>0</v>
      </c>
      <c r="AF60" s="50">
        <f t="shared" si="37"/>
        <v>0</v>
      </c>
      <c r="AG60" s="50">
        <f t="shared" si="37"/>
        <v>0</v>
      </c>
      <c r="AH60" s="50">
        <f>AG60-AF60</f>
        <v>0</v>
      </c>
    </row>
    <row r="61" spans="2:34" hidden="1" x14ac:dyDescent="0.25">
      <c r="B61" t="s">
        <v>135</v>
      </c>
      <c r="C61" t="s">
        <v>176</v>
      </c>
      <c r="F61" s="2">
        <f>IFERROR((F60*12)/F12,0)</f>
        <v>0</v>
      </c>
      <c r="G61" s="2">
        <f t="shared" ref="G61:Q61" si="38">IFERROR((G60*12)/G12,0)</f>
        <v>0</v>
      </c>
      <c r="H61" s="2">
        <f t="shared" si="38"/>
        <v>0</v>
      </c>
      <c r="I61" s="2">
        <f t="shared" si="38"/>
        <v>0</v>
      </c>
      <c r="J61" s="2">
        <f t="shared" si="38"/>
        <v>0</v>
      </c>
      <c r="K61" s="2">
        <f t="shared" si="38"/>
        <v>0</v>
      </c>
      <c r="L61" s="2">
        <f t="shared" si="38"/>
        <v>0</v>
      </c>
      <c r="M61" s="2">
        <f t="shared" si="38"/>
        <v>0</v>
      </c>
      <c r="N61" s="2">
        <f t="shared" si="38"/>
        <v>0</v>
      </c>
      <c r="O61" s="2">
        <f t="shared" si="38"/>
        <v>0</v>
      </c>
      <c r="P61" s="2">
        <f t="shared" si="38"/>
        <v>0</v>
      </c>
      <c r="Q61" s="2">
        <f t="shared" si="38"/>
        <v>0</v>
      </c>
      <c r="S61" s="2">
        <f t="shared" ref="S61" si="39">IFERROR((S60*12)/S12,0)</f>
        <v>0</v>
      </c>
      <c r="T61" s="2">
        <f t="shared" ref="T61" si="40">IFERROR((T60*12)/T12,0)</f>
        <v>0</v>
      </c>
      <c r="U61" s="2">
        <f t="shared" ref="U61" si="41">IFERROR((U60*12)/U12,0)</f>
        <v>0</v>
      </c>
      <c r="V61" s="2">
        <f t="shared" ref="V61" si="42">IFERROR((V60*12)/V12,0)</f>
        <v>0</v>
      </c>
      <c r="W61" s="2">
        <f t="shared" ref="W61" si="43">IFERROR((W60*12)/W12,0)</f>
        <v>0</v>
      </c>
      <c r="X61" s="2">
        <f t="shared" ref="X61" si="44">IFERROR((X60*12)/X12,0)</f>
        <v>0</v>
      </c>
      <c r="Y61" s="2">
        <f t="shared" ref="Y61" si="45">IFERROR((Y60*12)/Y12,0)</f>
        <v>0</v>
      </c>
      <c r="Z61" s="2">
        <f t="shared" ref="Z61" si="46">IFERROR((Z60*12)/Z12,0)</f>
        <v>0</v>
      </c>
      <c r="AA61" s="2">
        <f t="shared" ref="AA61" si="47">IFERROR((AA60*12)/AA12,0)</f>
        <v>0</v>
      </c>
      <c r="AB61" s="2">
        <f t="shared" ref="AB61" si="48">IFERROR((AB60*12)/AB12,0)</f>
        <v>0</v>
      </c>
      <c r="AC61" s="2">
        <f t="shared" ref="AC61" si="49">IFERROR((AC60*12)/AC12,0)</f>
        <v>0</v>
      </c>
      <c r="AD61" s="2">
        <f t="shared" ref="AD61" si="50">IFERROR((AD60*12)/AD12,0)</f>
        <v>0</v>
      </c>
      <c r="AF61" s="2">
        <f>IFERROR(AF60/AF12,0)</f>
        <v>0</v>
      </c>
      <c r="AG61" s="2">
        <f>IFERROR(AG60/AG12,0)</f>
        <v>0</v>
      </c>
      <c r="AH61" s="2">
        <f t="shared" ref="AH61" si="51">AG61-AF61</f>
        <v>0</v>
      </c>
    </row>
  </sheetData>
  <sortState xmlns:xlrd2="http://schemas.microsoft.com/office/spreadsheetml/2017/richdata2" ref="C9:C10">
    <sortCondition ref="C9:C10"/>
  </sortState>
  <mergeCells count="3">
    <mergeCell ref="E4:Q4"/>
    <mergeCell ref="S4:AD4"/>
    <mergeCell ref="C4:C6"/>
  </mergeCells>
  <phoneticPr fontId="10" type="noConversion"/>
  <dataValidations count="2">
    <dataValidation type="decimal" operator="greaterThanOrEqual" allowBlank="1" showInputMessage="1" showErrorMessage="1" errorTitle="Loan Loss Reserve" error="Please enter at a positive number." promptTitle="Loan Loss Reserve" prompt="Please enter as a positive number." sqref="E9:Q9 S9:AD9" xr:uid="{F7564F0C-359F-441B-9D4D-2EABCA2AD504}">
      <formula1>0</formula1>
    </dataValidation>
    <dataValidation type="decimal" errorStyle="information" operator="greaterThanOrEqual" allowBlank="1" showInputMessage="1" showErrorMessage="1" errorTitle="Loan Loss Reserve" error="Please enter as a positive number." promptTitle="Loan Loss Reserve" prompt="Please enter as a positive number." sqref="E10:Q10 S10:AD10" xr:uid="{D528635D-A4A0-41CB-85BA-4940405D5C79}">
      <formula1>0</formula1>
    </dataValidation>
  </dataValidations>
  <pageMargins left="0.5" right="0.5" top="0.5" bottom="0.5" header="0.3" footer="0.3"/>
  <pageSetup scale="70" fitToWidth="0" fitToHeight="0" orientation="landscape" r:id="rId1"/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Button 1">
              <controlPr defaultSize="0" print="0" autoFill="0" autoPict="0" macro="[0]!NavigateHome">
                <anchor moveWithCells="1">
                  <from>
                    <xdr:col>2</xdr:col>
                    <xdr:colOff>38100</xdr:colOff>
                    <xdr:row>0</xdr:row>
                    <xdr:rowOff>66675</xdr:rowOff>
                  </from>
                  <to>
                    <xdr:col>2</xdr:col>
                    <xdr:colOff>942975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ED5C-C92E-401E-99C5-18B53B76A36A}">
  <sheetPr codeName="Sheet34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B78&amp;" in "&amp;TEXT(EOMONTH(BeginDate,12),"yyy")</f>
        <v>Provision for Loan Loss Expense in 2022</v>
      </c>
      <c r="J32" s="64">
        <f>VLOOKUP(DataID,DataRange,Data!$AF$2,FALSE)</f>
        <v>0</v>
      </c>
      <c r="K32" t="str">
        <f>IFERROR(_xlfn.CONCAT("&lt;-- Equal to ",TEXT(J32/Data!$AF$8,"0.00%")," of Loans"),"")</f>
        <v/>
      </c>
    </row>
    <row r="33" spans="2:14" x14ac:dyDescent="0.25">
      <c r="D33" t="str">
        <f>"Budget "&amp;B78&amp;" in "&amp;TEXT(EOMONTH(BeginDate,24),"yyy")</f>
        <v>Budget Provision for Loan Loss Expense in 2023</v>
      </c>
      <c r="J33" s="64">
        <f>VLOOKUP(DataID,DataRange,Data!$AG$2,FALSE)</f>
        <v>0</v>
      </c>
      <c r="K33" t="str">
        <f>IFERROR(_xlfn.CONCAT("&lt;-- Equal to ",TEXT(J33/Data!$AG$8,"0.00%")," of Loans"),"")</f>
        <v/>
      </c>
    </row>
    <row r="34" spans="2:14" x14ac:dyDescent="0.25">
      <c r="D34" t="str">
        <f>"Change in "&amp;B78</f>
        <v>Change in Provision for Loan Loss Expense</v>
      </c>
      <c r="I34" s="1">
        <f>IFERROR(J34/J32,0)</f>
        <v>0</v>
      </c>
      <c r="J34" s="64">
        <f>VLOOKUP(DataID,DataRange,Data!$AH$2,FALSE)</f>
        <v>0</v>
      </c>
      <c r="K34" t="str">
        <f>IFERROR(_xlfn.CONCAT("&lt;-- Equal to ",TEXT(J34/Data!$AG$12,"0.00%")," ROA"),"")</f>
        <v/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82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122</v>
      </c>
      <c r="C73" s="62">
        <f>IF(ShowEnd=FALSE,"",VLOOKUP(DataID,DataRange,Data!F$2,FALSE))</f>
        <v>0</v>
      </c>
      <c r="D73" s="62">
        <f>IF(ShowEnd=FALSE,"",VLOOKUP(DataID,DataRange,Data!G$2,FALSE))</f>
        <v>0</v>
      </c>
      <c r="E73" s="62">
        <f>IF(ShowEnd=FALSE,"",VLOOKUP(DataID,DataRange,Data!H$2,FALSE))</f>
        <v>0</v>
      </c>
      <c r="F73" s="62">
        <f>IF(ShowEnd=FALSE,"",VLOOKUP(DataID,DataRange,Data!I$2,FALSE))</f>
        <v>0</v>
      </c>
      <c r="G73" s="62">
        <f>IF(ShowEnd=FALSE,"",VLOOKUP(DataID,DataRange,Data!J$2,FALSE))</f>
        <v>0</v>
      </c>
      <c r="H73" s="62">
        <f>IF(ShowEnd=FALSE,"",VLOOKUP(DataID,DataRange,Data!K$2,FALSE))</f>
        <v>0</v>
      </c>
      <c r="I73" s="62">
        <f>IF(ShowEnd=FALSE,"",VLOOKUP(DataID,DataRange,Data!L$2,FALSE))</f>
        <v>0</v>
      </c>
      <c r="J73" s="62">
        <f>IF(ShowEnd=FALSE,"",VLOOKUP(DataID,DataRange,Data!M$2,FALSE))</f>
        <v>0</v>
      </c>
      <c r="K73" s="62">
        <f>IF(ShowEnd=FALSE,"",VLOOKUP(DataID,DataRange,Data!N$2,FALSE))</f>
        <v>0</v>
      </c>
      <c r="L73" s="62">
        <f>IF(ShowEnd=FALSE,"",VLOOKUP(DataID,DataRange,Data!O$2,FALSE))</f>
        <v>0</v>
      </c>
      <c r="M73" s="62">
        <f>IF(ShowEnd=FALSE,"",VLOOKUP(DataID,DataRange,Data!P$2,FALSE))</f>
        <v>0</v>
      </c>
      <c r="N73" s="62">
        <f>IF(ShowEnd=FALSE,"",VLOOKUP(DataID,DataRange,Data!Q$2,FALSE))</f>
        <v>0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2:26" x14ac:dyDescent="0.25">
      <c r="B74" s="27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>IF(ShowEnd=FALSE,"",VLOOKUP(DataID,DataRange,Data!S$2,FALSE))</f>
        <v>0</v>
      </c>
      <c r="P74" s="62">
        <f>IF(ShowEnd=FALSE,"",VLOOKUP(DataID,DataRange,Data!T$2,FALSE))</f>
        <v>0</v>
      </c>
      <c r="Q74" s="62">
        <f>IF(ShowEnd=FALSE,"",VLOOKUP(DataID,DataRange,Data!U$2,FALSE))</f>
        <v>0</v>
      </c>
      <c r="R74" s="62">
        <f>IF(ShowEnd=FALSE,"",VLOOKUP(DataID,DataRange,Data!V$2,FALSE))</f>
        <v>0</v>
      </c>
      <c r="S74" s="62">
        <f>IF(ShowEnd=FALSE,"",VLOOKUP(DataID,DataRange,Data!W$2,FALSE))</f>
        <v>0</v>
      </c>
      <c r="T74" s="62">
        <f>IF(ShowEnd=FALSE,"",VLOOKUP(DataID,DataRange,Data!X$2,FALSE))</f>
        <v>0</v>
      </c>
      <c r="U74" s="62">
        <f>IF(ShowEnd=FALSE,"",VLOOKUP(DataID,DataRange,Data!Y$2,FALSE))</f>
        <v>0</v>
      </c>
      <c r="V74" s="62">
        <f>IF(ShowEnd=FALSE,"",VLOOKUP(DataID,DataRange,Data!Z$2,FALSE))</f>
        <v>0</v>
      </c>
      <c r="W74" s="62">
        <f>IF(ShowEnd=FALSE,"",VLOOKUP(DataID,DataRange,Data!AA$2,FALSE))</f>
        <v>0</v>
      </c>
      <c r="X74" s="62">
        <f>IF(ShowEnd=FALSE,"",VLOOKUP(DataID,DataRange,Data!AB$2,FALSE))</f>
        <v>0</v>
      </c>
      <c r="Y74" s="62">
        <f>IF(ShowEnd=FALSE,"",VLOOKUP(DataID,DataRange,Data!AC$2,FALSE))</f>
        <v>0</v>
      </c>
      <c r="Z74" s="62">
        <f>IF(ShowEnd=FALSE,"",VLOOKUP(DataID,DataRange,Data!AD$2,FALSE))</f>
        <v>0</v>
      </c>
    </row>
    <row r="75" spans="2:26" x14ac:dyDescent="0.25">
      <c r="B75" s="27" t="s">
        <v>119</v>
      </c>
      <c r="C75" s="62">
        <f>IF(ShowAvg=FALSE,"",VLOOKUP(DataID,DataRange,Data!AF$2,FALSE)/12)</f>
        <v>0</v>
      </c>
      <c r="D75" s="62">
        <f t="shared" ref="D75:N75" si="1">C75</f>
        <v>0</v>
      </c>
      <c r="E75" s="62">
        <f t="shared" si="1"/>
        <v>0</v>
      </c>
      <c r="F75" s="62">
        <f t="shared" si="1"/>
        <v>0</v>
      </c>
      <c r="G75" s="62">
        <f t="shared" si="1"/>
        <v>0</v>
      </c>
      <c r="H75" s="62">
        <f t="shared" si="1"/>
        <v>0</v>
      </c>
      <c r="I75" s="62">
        <f t="shared" si="1"/>
        <v>0</v>
      </c>
      <c r="J75" s="62">
        <f t="shared" si="1"/>
        <v>0</v>
      </c>
      <c r="K75" s="62">
        <f t="shared" si="1"/>
        <v>0</v>
      </c>
      <c r="L75" s="62">
        <f t="shared" si="1"/>
        <v>0</v>
      </c>
      <c r="M75" s="62">
        <f t="shared" si="1"/>
        <v>0</v>
      </c>
      <c r="N75" s="62">
        <f t="shared" si="1"/>
        <v>0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2:26" x14ac:dyDescent="0.25">
      <c r="B76" s="27" t="s">
        <v>120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>IF(ShowAvg=FALSE,"",VLOOKUP(DataID,DataRange,Data!AG$2,FALSE)/12)</f>
        <v>0</v>
      </c>
      <c r="P76" s="62">
        <f>O76</f>
        <v>0</v>
      </c>
      <c r="Q76" s="62">
        <f t="shared" ref="Q76:Z76" si="2">P76</f>
        <v>0</v>
      </c>
      <c r="R76" s="62">
        <f t="shared" si="2"/>
        <v>0</v>
      </c>
      <c r="S76" s="62">
        <f t="shared" si="2"/>
        <v>0</v>
      </c>
      <c r="T76" s="62">
        <f t="shared" si="2"/>
        <v>0</v>
      </c>
      <c r="U76" s="62">
        <f t="shared" si="2"/>
        <v>0</v>
      </c>
      <c r="V76" s="62">
        <f t="shared" si="2"/>
        <v>0</v>
      </c>
      <c r="W76" s="62">
        <f t="shared" si="2"/>
        <v>0</v>
      </c>
      <c r="X76" s="62">
        <f t="shared" si="2"/>
        <v>0</v>
      </c>
      <c r="Y76" s="62">
        <f t="shared" si="2"/>
        <v>0</v>
      </c>
      <c r="Z76" s="62">
        <f t="shared" si="2"/>
        <v>0</v>
      </c>
    </row>
    <row r="78" spans="2:26" x14ac:dyDescent="0.25">
      <c r="B78" t="str">
        <f>VLOOKUP(DataID,DataRange,Data!$C$2,FALSE)</f>
        <v>Provision for Loan Loss Expense</v>
      </c>
    </row>
    <row r="79" spans="2:26" x14ac:dyDescent="0.25">
      <c r="B79" s="27" t="s">
        <v>85</v>
      </c>
    </row>
    <row r="80" spans="2:26" x14ac:dyDescent="0.25">
      <c r="B80" t="s">
        <v>123</v>
      </c>
    </row>
    <row r="81" spans="2:6" x14ac:dyDescent="0.25">
      <c r="B81" t="str">
        <f>IF(ShowAvg=FALSE,_xlfn.CONCAT(B78,B79),_xlfn.CONCAT(B78,B79,B80))</f>
        <v>Provision for Loan Loss Expense (000s); Shaded Area = Monthly Avg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3">
        <f>MIN(C73:Z76)</f>
        <v>0</v>
      </c>
      <c r="C86" s="58">
        <v>0.9</v>
      </c>
      <c r="D86" s="53">
        <v>2</v>
      </c>
      <c r="E86" s="63">
        <f>IF(B86&lt;0,ROUNDUP(B86/C86,-D86),ROUNDDOWN(B86*C86,-D86))</f>
        <v>0</v>
      </c>
      <c r="F86" t="s">
        <v>90</v>
      </c>
    </row>
    <row r="87" spans="2:6" x14ac:dyDescent="0.25">
      <c r="B87" s="63">
        <f>MAX(C73:Z76)</f>
        <v>0</v>
      </c>
      <c r="C87" s="58">
        <v>1.1000000000000001</v>
      </c>
      <c r="D87" s="53">
        <v>2</v>
      </c>
      <c r="E87" s="63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7" name="Button 5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45CED-46C1-48CE-9E75-5167E273C0BE}">
  <sheetPr codeName="Sheet36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"Gap Between "&amp;TEXT(EOMONTH(BeginDate,12),"mmm yyy")&amp;" and "&amp;TEXT(EOMONTH(BeginDate,13),"mmm yyy")</f>
        <v>Gap Between Dec 2022 and Jan 2023</v>
      </c>
      <c r="J32" s="2">
        <f>VLOOKUP(DataID,DataRange,Data!S$2,FALSE)-VLOOKUP(DataID,DataRange,Data!Q$2,FALSE)</f>
        <v>0</v>
      </c>
    </row>
    <row r="33" spans="2:14" x14ac:dyDescent="0.25">
      <c r="J33" s="61"/>
    </row>
    <row r="34" spans="2:14" x14ac:dyDescent="0.25">
      <c r="J34" s="61"/>
    </row>
    <row r="35" spans="2:14" x14ac:dyDescent="0.25">
      <c r="J35" s="61"/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136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53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8" spans="2:26" x14ac:dyDescent="0.25">
      <c r="B78" t="str">
        <f>VLOOKUP(DataID,DataRange,Data!$C$2,FALSE)</f>
        <v>Loan Loss Reserve</v>
      </c>
    </row>
    <row r="79" spans="2:26" x14ac:dyDescent="0.25">
      <c r="B79" t="s">
        <v>124</v>
      </c>
    </row>
    <row r="81" spans="2:6" x14ac:dyDescent="0.25">
      <c r="B81" t="str">
        <f>IF(ShowAvg=FALSE,_xlfn.CONCAT(B78,B79),_xlfn.CONCAT(B78,B79,B80))</f>
        <v>Loan Loss Reserve (Percent of Loans)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7" r:id="rId4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5" name="Button 5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CC862-30A9-44C3-8D81-00DEFA8EED20}">
  <sheetPr codeName="Sheet42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"Gap Between "&amp;TEXT(EOMONTH(BeginDate,12),"mmm yyy")&amp;" and "&amp;TEXT(EOMONTH(BeginDate,13),"mmm yyy")</f>
        <v>Gap Between Dec 2022 and Jan 2023</v>
      </c>
      <c r="J32" s="1">
        <f>VLOOKUP(DataID,DataRange,Data!S$2,FALSE)-VLOOKUP(DataID,DataRange,Data!Q$2,FALSE)</f>
        <v>0</v>
      </c>
    </row>
    <row r="33" spans="2:14" x14ac:dyDescent="0.25">
      <c r="J33" s="61"/>
    </row>
    <row r="34" spans="2:14" x14ac:dyDescent="0.25">
      <c r="J34" s="61"/>
    </row>
    <row r="35" spans="2:14" x14ac:dyDescent="0.25">
      <c r="J35" s="61"/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137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66">
        <f>IF(ShowEnd=FALSE,"",VLOOKUP(DataID,DataRange,Data!F$2,FALSE))</f>
        <v>0</v>
      </c>
      <c r="D73" s="66">
        <f>IF(ShowEnd=FALSE,"",VLOOKUP(DataID,DataRange,Data!G$2,FALSE))</f>
        <v>0</v>
      </c>
      <c r="E73" s="66">
        <f>IF(ShowEnd=FALSE,"",VLOOKUP(DataID,DataRange,Data!H$2,FALSE))</f>
        <v>0</v>
      </c>
      <c r="F73" s="66">
        <f>IF(ShowEnd=FALSE,"",VLOOKUP(DataID,DataRange,Data!I$2,FALSE))</f>
        <v>0</v>
      </c>
      <c r="G73" s="66">
        <f>IF(ShowEnd=FALSE,"",VLOOKUP(DataID,DataRange,Data!J$2,FALSE))</f>
        <v>0</v>
      </c>
      <c r="H73" s="66">
        <f>IF(ShowEnd=FALSE,"",VLOOKUP(DataID,DataRange,Data!K$2,FALSE))</f>
        <v>0</v>
      </c>
      <c r="I73" s="66">
        <f>IF(ShowEnd=FALSE,"",VLOOKUP(DataID,DataRange,Data!L$2,FALSE))</f>
        <v>0</v>
      </c>
      <c r="J73" s="66">
        <f>IF(ShowEnd=FALSE,"",VLOOKUP(DataID,DataRange,Data!M$2,FALSE))</f>
        <v>0</v>
      </c>
      <c r="K73" s="66">
        <f>IF(ShowEnd=FALSE,"",VLOOKUP(DataID,DataRange,Data!N$2,FALSE))</f>
        <v>0</v>
      </c>
      <c r="L73" s="66">
        <f>IF(ShowEnd=FALSE,"",VLOOKUP(DataID,DataRange,Data!O$2,FALSE))</f>
        <v>0</v>
      </c>
      <c r="M73" s="66">
        <f>IF(ShowEnd=FALSE,"",VLOOKUP(DataID,DataRange,Data!P$2,FALSE))</f>
        <v>0</v>
      </c>
      <c r="N73" s="66">
        <f>IF(ShowEnd=FALSE,"",VLOOKUP(DataID,DataRange,Data!Q$2,FALSE))</f>
        <v>0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x14ac:dyDescent="0.25">
      <c r="B74" s="27" t="s">
        <v>53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>
        <f>IF(ShowEnd=FALSE,"",VLOOKUP(DataID,DataRange,Data!S$2,FALSE))</f>
        <v>0</v>
      </c>
      <c r="P74" s="66">
        <f>IF(ShowEnd=FALSE,"",VLOOKUP(DataID,DataRange,Data!T$2,FALSE))</f>
        <v>0</v>
      </c>
      <c r="Q74" s="66">
        <f>IF(ShowEnd=FALSE,"",VLOOKUP(DataID,DataRange,Data!U$2,FALSE))</f>
        <v>0</v>
      </c>
      <c r="R74" s="66">
        <f>IF(ShowEnd=FALSE,"",VLOOKUP(DataID,DataRange,Data!V$2,FALSE))</f>
        <v>0</v>
      </c>
      <c r="S74" s="66">
        <f>IF(ShowEnd=FALSE,"",VLOOKUP(DataID,DataRange,Data!W$2,FALSE))</f>
        <v>0</v>
      </c>
      <c r="T74" s="66">
        <f>IF(ShowEnd=FALSE,"",VLOOKUP(DataID,DataRange,Data!X$2,FALSE))</f>
        <v>0</v>
      </c>
      <c r="U74" s="66">
        <f>IF(ShowEnd=FALSE,"",VLOOKUP(DataID,DataRange,Data!Y$2,FALSE))</f>
        <v>0</v>
      </c>
      <c r="V74" s="66">
        <f>IF(ShowEnd=FALSE,"",VLOOKUP(DataID,DataRange,Data!Z$2,FALSE))</f>
        <v>0</v>
      </c>
      <c r="W74" s="66">
        <f>IF(ShowEnd=FALSE,"",VLOOKUP(DataID,DataRange,Data!AA$2,FALSE))</f>
        <v>0</v>
      </c>
      <c r="X74" s="66">
        <f>IF(ShowEnd=FALSE,"",VLOOKUP(DataID,DataRange,Data!AB$2,FALSE))</f>
        <v>0</v>
      </c>
      <c r="Y74" s="66">
        <f>IF(ShowEnd=FALSE,"",VLOOKUP(DataID,DataRange,Data!AC$2,FALSE))</f>
        <v>0</v>
      </c>
      <c r="Z74" s="66">
        <f>IF(ShowEnd=FALSE,"",VLOOKUP(DataID,DataRange,Data!AD$2,FALSE))</f>
        <v>0</v>
      </c>
    </row>
    <row r="75" spans="2:26" x14ac:dyDescent="0.25">
      <c r="B75" s="2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x14ac:dyDescent="0.25">
      <c r="B76" s="2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8" spans="2:26" x14ac:dyDescent="0.25">
      <c r="B78" t="str">
        <f>VLOOKUP(DataID,DataRange,Data!$C$2,FALSE)</f>
        <v>Equity + Loan Loss Reserve as Percent of Loans</v>
      </c>
    </row>
    <row r="79" spans="2:26" x14ac:dyDescent="0.25">
      <c r="B79" t="s">
        <v>124</v>
      </c>
    </row>
    <row r="81" spans="2:6" x14ac:dyDescent="0.25">
      <c r="B81" t="str">
        <f>IF(ShowAvg=FALSE,_xlfn.CONCAT(B78,B79),_xlfn.CONCAT(B78,B79,B80))</f>
        <v>Equity + Loan Loss Reserve as Percent of Loans (Percent of Loans)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Button 1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9" r:id="rId5" name="Button 3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BB4D-70A4-4B54-B62E-E8793AFCCD92}">
  <sheetPr codeName="Sheet41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"Gap Between "&amp;TEXT(EOMONTH(BeginDate,12),"mmm yyy")&amp;" and "&amp;TEXT(EOMONTH(BeginDate,13),"mmm yyy")</f>
        <v>Gap Between Dec 2022 and Jan 2023</v>
      </c>
      <c r="J32" s="1">
        <f>VLOOKUP(DataID,DataRange,Data!S$2,FALSE)-VLOOKUP(DataID,DataRange,Data!Q$2,FALSE)</f>
        <v>0</v>
      </c>
    </row>
    <row r="33" spans="2:14" x14ac:dyDescent="0.25">
      <c r="J33" s="61"/>
    </row>
    <row r="34" spans="2:14" x14ac:dyDescent="0.25">
      <c r="J34" s="61"/>
    </row>
    <row r="35" spans="2:14" x14ac:dyDescent="0.25">
      <c r="J35" s="61"/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138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66">
        <f>IF(ShowEnd=FALSE,"",VLOOKUP(DataID,DataRange,Data!F$2,FALSE))</f>
        <v>0</v>
      </c>
      <c r="D73" s="66">
        <f>IF(ShowEnd=FALSE,"",VLOOKUP(DataID,DataRange,Data!G$2,FALSE))</f>
        <v>0</v>
      </c>
      <c r="E73" s="66">
        <f>IF(ShowEnd=FALSE,"",VLOOKUP(DataID,DataRange,Data!H$2,FALSE))</f>
        <v>0</v>
      </c>
      <c r="F73" s="66">
        <f>IF(ShowEnd=FALSE,"",VLOOKUP(DataID,DataRange,Data!I$2,FALSE))</f>
        <v>0</v>
      </c>
      <c r="G73" s="66">
        <f>IF(ShowEnd=FALSE,"",VLOOKUP(DataID,DataRange,Data!J$2,FALSE))</f>
        <v>0</v>
      </c>
      <c r="H73" s="66">
        <f>IF(ShowEnd=FALSE,"",VLOOKUP(DataID,DataRange,Data!K$2,FALSE))</f>
        <v>0</v>
      </c>
      <c r="I73" s="66">
        <f>IF(ShowEnd=FALSE,"",VLOOKUP(DataID,DataRange,Data!L$2,FALSE))</f>
        <v>0</v>
      </c>
      <c r="J73" s="66">
        <f>IF(ShowEnd=FALSE,"",VLOOKUP(DataID,DataRange,Data!M$2,FALSE))</f>
        <v>0</v>
      </c>
      <c r="K73" s="66">
        <f>IF(ShowEnd=FALSE,"",VLOOKUP(DataID,DataRange,Data!N$2,FALSE))</f>
        <v>0</v>
      </c>
      <c r="L73" s="66">
        <f>IF(ShowEnd=FALSE,"",VLOOKUP(DataID,DataRange,Data!O$2,FALSE))</f>
        <v>0</v>
      </c>
      <c r="M73" s="66">
        <f>IF(ShowEnd=FALSE,"",VLOOKUP(DataID,DataRange,Data!P$2,FALSE))</f>
        <v>0</v>
      </c>
      <c r="N73" s="66">
        <f>IF(ShowEnd=FALSE,"",VLOOKUP(DataID,DataRange,Data!Q$2,FALSE))</f>
        <v>0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x14ac:dyDescent="0.25">
      <c r="B74" s="27" t="s">
        <v>53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>
        <f>IF(ShowEnd=FALSE,"",VLOOKUP(DataID,DataRange,Data!S$2,FALSE))</f>
        <v>0</v>
      </c>
      <c r="P74" s="66">
        <f>IF(ShowEnd=FALSE,"",VLOOKUP(DataID,DataRange,Data!T$2,FALSE))</f>
        <v>0</v>
      </c>
      <c r="Q74" s="66">
        <f>IF(ShowEnd=FALSE,"",VLOOKUP(DataID,DataRange,Data!U$2,FALSE))</f>
        <v>0</v>
      </c>
      <c r="R74" s="66">
        <f>IF(ShowEnd=FALSE,"",VLOOKUP(DataID,DataRange,Data!V$2,FALSE))</f>
        <v>0</v>
      </c>
      <c r="S74" s="66">
        <f>IF(ShowEnd=FALSE,"",VLOOKUP(DataID,DataRange,Data!W$2,FALSE))</f>
        <v>0</v>
      </c>
      <c r="T74" s="66">
        <f>IF(ShowEnd=FALSE,"",VLOOKUP(DataID,DataRange,Data!X$2,FALSE))</f>
        <v>0</v>
      </c>
      <c r="U74" s="66">
        <f>IF(ShowEnd=FALSE,"",VLOOKUP(DataID,DataRange,Data!Y$2,FALSE))</f>
        <v>0</v>
      </c>
      <c r="V74" s="66">
        <f>IF(ShowEnd=FALSE,"",VLOOKUP(DataID,DataRange,Data!Z$2,FALSE))</f>
        <v>0</v>
      </c>
      <c r="W74" s="66">
        <f>IF(ShowEnd=FALSE,"",VLOOKUP(DataID,DataRange,Data!AA$2,FALSE))</f>
        <v>0</v>
      </c>
      <c r="X74" s="66">
        <f>IF(ShowEnd=FALSE,"",VLOOKUP(DataID,DataRange,Data!AB$2,FALSE))</f>
        <v>0</v>
      </c>
      <c r="Y74" s="66">
        <f>IF(ShowEnd=FALSE,"",VLOOKUP(DataID,DataRange,Data!AC$2,FALSE))</f>
        <v>0</v>
      </c>
      <c r="Z74" s="66">
        <f>IF(ShowEnd=FALSE,"",VLOOKUP(DataID,DataRange,Data!AD$2,FALSE))</f>
        <v>0</v>
      </c>
    </row>
    <row r="75" spans="2:26" x14ac:dyDescent="0.25">
      <c r="B75" s="2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x14ac:dyDescent="0.25">
      <c r="B76" s="2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8" spans="2:26" x14ac:dyDescent="0.25">
      <c r="B78" t="str">
        <f>VLOOKUP(DataID,DataRange,Data!$C$2,FALSE)</f>
        <v>Equity as Percent of Assets</v>
      </c>
    </row>
    <row r="79" spans="2:26" x14ac:dyDescent="0.25">
      <c r="B79" t="s">
        <v>124</v>
      </c>
    </row>
    <row r="81" spans="2:6" x14ac:dyDescent="0.25">
      <c r="B81" t="str">
        <f>IF(ShowAvg=FALSE,_xlfn.CONCAT(B78,B79),_xlfn.CONCAT(B78,B79,B80))</f>
        <v>Equity as Percent of Assets (Percent of Loans)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3" r:id="rId4" name="Button 1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5" name="Button 3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1A12-9855-4200-AC20-93ABE112A099}">
  <sheetPr codeName="Sheet39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B78&amp;" in "&amp;TEXT(EOMONTH(BeginDate,12),"yyy")</f>
        <v>Pretax Operating Net Income in 2022</v>
      </c>
      <c r="J32" s="64">
        <f>VLOOKUP(DataID,DataRange,Data!$AF$2,FALSE)</f>
        <v>0</v>
      </c>
    </row>
    <row r="33" spans="2:14" x14ac:dyDescent="0.25">
      <c r="D33" t="str">
        <f>"Budget "&amp;B78&amp;" in "&amp;TEXT(EOMONTH(BeginDate,24),"yyy")</f>
        <v>Budget Pretax Operating Net Income in 2023</v>
      </c>
      <c r="J33" s="64">
        <f>VLOOKUP(DataID,DataRange,Data!$AG$2,FALSE)</f>
        <v>0</v>
      </c>
    </row>
    <row r="34" spans="2:14" x14ac:dyDescent="0.25">
      <c r="D34" t="str">
        <f>"Change in "&amp;B78</f>
        <v>Change in Pretax Operating Net Income</v>
      </c>
      <c r="I34" s="1">
        <f>IFERROR(J34/J32,0)</f>
        <v>0</v>
      </c>
      <c r="J34" s="64">
        <f>VLOOKUP(DataID,DataRange,Data!$AH$2,FALSE)</f>
        <v>0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134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122</v>
      </c>
      <c r="C73" s="62">
        <f>IF(ShowEnd=FALSE,"",VLOOKUP(DataID,DataRange,Data!F$2,FALSE))</f>
        <v>0</v>
      </c>
      <c r="D73" s="62">
        <f>IF(ShowEnd=FALSE,"",VLOOKUP(DataID,DataRange,Data!G$2,FALSE))</f>
        <v>0</v>
      </c>
      <c r="E73" s="62">
        <f>IF(ShowEnd=FALSE,"",VLOOKUP(DataID,DataRange,Data!H$2,FALSE))</f>
        <v>0</v>
      </c>
      <c r="F73" s="62">
        <f>IF(ShowEnd=FALSE,"",VLOOKUP(DataID,DataRange,Data!I$2,FALSE))</f>
        <v>0</v>
      </c>
      <c r="G73" s="62">
        <f>IF(ShowEnd=FALSE,"",VLOOKUP(DataID,DataRange,Data!J$2,FALSE))</f>
        <v>0</v>
      </c>
      <c r="H73" s="62">
        <f>IF(ShowEnd=FALSE,"",VLOOKUP(DataID,DataRange,Data!K$2,FALSE))</f>
        <v>0</v>
      </c>
      <c r="I73" s="62">
        <f>IF(ShowEnd=FALSE,"",VLOOKUP(DataID,DataRange,Data!L$2,FALSE))</f>
        <v>0</v>
      </c>
      <c r="J73" s="62">
        <f>IF(ShowEnd=FALSE,"",VLOOKUP(DataID,DataRange,Data!M$2,FALSE))</f>
        <v>0</v>
      </c>
      <c r="K73" s="62">
        <f>IF(ShowEnd=FALSE,"",VLOOKUP(DataID,DataRange,Data!N$2,FALSE))</f>
        <v>0</v>
      </c>
      <c r="L73" s="62">
        <f>IF(ShowEnd=FALSE,"",VLOOKUP(DataID,DataRange,Data!O$2,FALSE))</f>
        <v>0</v>
      </c>
      <c r="M73" s="62">
        <f>IF(ShowEnd=FALSE,"",VLOOKUP(DataID,DataRange,Data!P$2,FALSE))</f>
        <v>0</v>
      </c>
      <c r="N73" s="62">
        <f>IF(ShowEnd=FALSE,"",VLOOKUP(DataID,DataRange,Data!Q$2,FALSE))</f>
        <v>0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2:26" x14ac:dyDescent="0.25">
      <c r="B74" s="27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>IF(ShowEnd=FALSE,"",VLOOKUP(DataID,DataRange,Data!S$2,FALSE))</f>
        <v>0</v>
      </c>
      <c r="P74" s="62">
        <f>IF(ShowEnd=FALSE,"",VLOOKUP(DataID,DataRange,Data!T$2,FALSE))</f>
        <v>0</v>
      </c>
      <c r="Q74" s="62">
        <f>IF(ShowEnd=FALSE,"",VLOOKUP(DataID,DataRange,Data!U$2,FALSE))</f>
        <v>0</v>
      </c>
      <c r="R74" s="62">
        <f>IF(ShowEnd=FALSE,"",VLOOKUP(DataID,DataRange,Data!V$2,FALSE))</f>
        <v>0</v>
      </c>
      <c r="S74" s="62">
        <f>IF(ShowEnd=FALSE,"",VLOOKUP(DataID,DataRange,Data!W$2,FALSE))</f>
        <v>0</v>
      </c>
      <c r="T74" s="62">
        <f>IF(ShowEnd=FALSE,"",VLOOKUP(DataID,DataRange,Data!X$2,FALSE))</f>
        <v>0</v>
      </c>
      <c r="U74" s="62">
        <f>IF(ShowEnd=FALSE,"",VLOOKUP(DataID,DataRange,Data!Y$2,FALSE))</f>
        <v>0</v>
      </c>
      <c r="V74" s="62">
        <f>IF(ShowEnd=FALSE,"",VLOOKUP(DataID,DataRange,Data!Z$2,FALSE))</f>
        <v>0</v>
      </c>
      <c r="W74" s="62">
        <f>IF(ShowEnd=FALSE,"",VLOOKUP(DataID,DataRange,Data!AA$2,FALSE))</f>
        <v>0</v>
      </c>
      <c r="X74" s="62">
        <f>IF(ShowEnd=FALSE,"",VLOOKUP(DataID,DataRange,Data!AB$2,FALSE))</f>
        <v>0</v>
      </c>
      <c r="Y74" s="62">
        <f>IF(ShowEnd=FALSE,"",VLOOKUP(DataID,DataRange,Data!AC$2,FALSE))</f>
        <v>0</v>
      </c>
      <c r="Z74" s="62">
        <f>IF(ShowEnd=FALSE,"",VLOOKUP(DataID,DataRange,Data!AD$2,FALSE))</f>
        <v>0</v>
      </c>
    </row>
    <row r="75" spans="2:26" x14ac:dyDescent="0.25">
      <c r="B75" s="27" t="s">
        <v>119</v>
      </c>
      <c r="C75" s="62">
        <f>IF(ShowAvg=FALSE,"",VLOOKUP(DataID,DataRange,Data!AF$2,FALSE)/12)</f>
        <v>0</v>
      </c>
      <c r="D75" s="62">
        <f t="shared" ref="D75:N75" si="1">C75</f>
        <v>0</v>
      </c>
      <c r="E75" s="62">
        <f t="shared" si="1"/>
        <v>0</v>
      </c>
      <c r="F75" s="62">
        <f t="shared" si="1"/>
        <v>0</v>
      </c>
      <c r="G75" s="62">
        <f t="shared" si="1"/>
        <v>0</v>
      </c>
      <c r="H75" s="62">
        <f t="shared" si="1"/>
        <v>0</v>
      </c>
      <c r="I75" s="62">
        <f t="shared" si="1"/>
        <v>0</v>
      </c>
      <c r="J75" s="62">
        <f t="shared" si="1"/>
        <v>0</v>
      </c>
      <c r="K75" s="62">
        <f t="shared" si="1"/>
        <v>0</v>
      </c>
      <c r="L75" s="62">
        <f t="shared" si="1"/>
        <v>0</v>
      </c>
      <c r="M75" s="62">
        <f t="shared" si="1"/>
        <v>0</v>
      </c>
      <c r="N75" s="62">
        <f t="shared" si="1"/>
        <v>0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2:26" x14ac:dyDescent="0.25">
      <c r="B76" s="27" t="s">
        <v>120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>IF(ShowAvg=FALSE,"",VLOOKUP(DataID,DataRange,Data!AG$2,FALSE)/12)</f>
        <v>0</v>
      </c>
      <c r="P76" s="62">
        <f>O76</f>
        <v>0</v>
      </c>
      <c r="Q76" s="62">
        <f t="shared" ref="Q76:Z76" si="2">P76</f>
        <v>0</v>
      </c>
      <c r="R76" s="62">
        <f t="shared" si="2"/>
        <v>0</v>
      </c>
      <c r="S76" s="62">
        <f t="shared" si="2"/>
        <v>0</v>
      </c>
      <c r="T76" s="62">
        <f t="shared" si="2"/>
        <v>0</v>
      </c>
      <c r="U76" s="62">
        <f t="shared" si="2"/>
        <v>0</v>
      </c>
      <c r="V76" s="62">
        <f t="shared" si="2"/>
        <v>0</v>
      </c>
      <c r="W76" s="62">
        <f t="shared" si="2"/>
        <v>0</v>
      </c>
      <c r="X76" s="62">
        <f t="shared" si="2"/>
        <v>0</v>
      </c>
      <c r="Y76" s="62">
        <f t="shared" si="2"/>
        <v>0</v>
      </c>
      <c r="Z76" s="62">
        <f t="shared" si="2"/>
        <v>0</v>
      </c>
    </row>
    <row r="78" spans="2:26" x14ac:dyDescent="0.25">
      <c r="B78" t="str">
        <f>VLOOKUP(DataID,DataRange,Data!$C$2,FALSE)</f>
        <v>Pretax Operating Net Income</v>
      </c>
    </row>
    <row r="79" spans="2:26" x14ac:dyDescent="0.25">
      <c r="B79" s="27" t="s">
        <v>85</v>
      </c>
    </row>
    <row r="80" spans="2:26" x14ac:dyDescent="0.25">
      <c r="B80" t="s">
        <v>123</v>
      </c>
    </row>
    <row r="81" spans="2:6" x14ac:dyDescent="0.25">
      <c r="B81" t="str">
        <f>IF(ShowAvg=FALSE,_xlfn.CONCAT(B78,B79),_xlfn.CONCAT(B78,B79,B80))</f>
        <v>Pretax Operating Net Income (000s); Shaded Area = Monthly Avg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3">
        <f>MIN(C73:Z76)</f>
        <v>0</v>
      </c>
      <c r="C86" s="58">
        <v>0.9</v>
      </c>
      <c r="D86" s="53">
        <v>2</v>
      </c>
      <c r="E86" s="63">
        <f>ROUNDDOWN(B86*C86,-D86)</f>
        <v>0</v>
      </c>
      <c r="F86" t="s">
        <v>90</v>
      </c>
    </row>
    <row r="87" spans="2:6" x14ac:dyDescent="0.25">
      <c r="B87" s="63">
        <f>MAX(C73:Z76)</f>
        <v>0</v>
      </c>
      <c r="C87" s="58">
        <v>1.1000000000000001</v>
      </c>
      <c r="D87" s="53">
        <v>2</v>
      </c>
      <c r="E87" s="63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9" r:id="rId7" name="Button 5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9027-FB6E-47D2-9FC9-15D50ADE7BD2}">
  <sheetPr codeName="Sheet40">
    <pageSetUpPr fitToPage="1"/>
  </sheetPr>
  <dimension ref="B1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1" spans="2:2" x14ac:dyDescent="0.25">
      <c r="B1" t="s">
        <v>171</v>
      </c>
    </row>
    <row r="32" spans="4:10" x14ac:dyDescent="0.25">
      <c r="D32" t="str">
        <f>B78&amp;" in "&amp;TEXT(EOMONTH(BeginDate,12),"yyy")</f>
        <v>Pretax Operating ROA in 2022</v>
      </c>
      <c r="J32" s="61">
        <f>VLOOKUP(DataID,DataRange,Data!$AF$2,FALSE)</f>
        <v>0</v>
      </c>
    </row>
    <row r="33" spans="2:14" x14ac:dyDescent="0.25">
      <c r="D33" t="str">
        <f>"Budget "&amp;B78&amp;" in "&amp;TEXT(EOMONTH(BeginDate,24),"yyy")</f>
        <v>Budget Pretax Operating ROA in 2023</v>
      </c>
      <c r="J33" s="61">
        <f>VLOOKUP(DataID,DataRange,Data!$AG$2,FALSE)</f>
        <v>0</v>
      </c>
    </row>
    <row r="34" spans="2:14" x14ac:dyDescent="0.25">
      <c r="D34" t="str">
        <f>"Change in "&amp;B78</f>
        <v>Change in Pretax Operating ROA</v>
      </c>
      <c r="J34" s="61">
        <f>VLOOKUP(DataID,DataRange,Data!$AH$2,FALSE)</f>
        <v>0</v>
      </c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135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139</v>
      </c>
      <c r="C73" s="29">
        <f>IF(ShowEnd=FALSE,"",VLOOKUP(DataID,DataRange,Data!F$2,FALSE))</f>
        <v>0</v>
      </c>
      <c r="D73" s="29">
        <f>IF(ShowEnd=FALSE,"",VLOOKUP(DataID,DataRange,Data!G$2,FALSE))</f>
        <v>0</v>
      </c>
      <c r="E73" s="29">
        <f>IF(ShowEnd=FALSE,"",VLOOKUP(DataID,DataRange,Data!H$2,FALSE))</f>
        <v>0</v>
      </c>
      <c r="F73" s="29">
        <f>IF(ShowEnd=FALSE,"",VLOOKUP(DataID,DataRange,Data!I$2,FALSE))</f>
        <v>0</v>
      </c>
      <c r="G73" s="29">
        <f>IF(ShowEnd=FALSE,"",VLOOKUP(DataID,DataRange,Data!J$2,FALSE))</f>
        <v>0</v>
      </c>
      <c r="H73" s="29">
        <f>IF(ShowEnd=FALSE,"",VLOOKUP(DataID,DataRange,Data!K$2,FALSE))</f>
        <v>0</v>
      </c>
      <c r="I73" s="29">
        <f>IF(ShowEnd=FALSE,"",VLOOKUP(DataID,DataRange,Data!L$2,FALSE))</f>
        <v>0</v>
      </c>
      <c r="J73" s="29">
        <f>IF(ShowEnd=FALSE,"",VLOOKUP(DataID,DataRange,Data!M$2,FALSE))</f>
        <v>0</v>
      </c>
      <c r="K73" s="29">
        <f>IF(ShowEnd=FALSE,"",VLOOKUP(DataID,DataRange,Data!N$2,FALSE))</f>
        <v>0</v>
      </c>
      <c r="L73" s="29">
        <f>IF(ShowEnd=FALSE,"",VLOOKUP(DataID,DataRange,Data!O$2,FALSE))</f>
        <v>0</v>
      </c>
      <c r="M73" s="29">
        <f>IF(ShowEnd=FALSE,"",VLOOKUP(DataID,DataRange,Data!P$2,FALSE))</f>
        <v>0</v>
      </c>
      <c r="N73" s="29">
        <f>IF(ShowEnd=FALSE,"",VLOOKUP(DataID,DataRange,Data!Q$2,FALSE))</f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x14ac:dyDescent="0.25">
      <c r="B74" s="27" t="s">
        <v>140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>IF(ShowEnd=FALSE,"",VLOOKUP(DataID,DataRange,Data!S$2,FALSE))</f>
        <v>0</v>
      </c>
      <c r="P74" s="29">
        <f>IF(ShowEnd=FALSE,"",VLOOKUP(DataID,DataRange,Data!T$2,FALSE))</f>
        <v>0</v>
      </c>
      <c r="Q74" s="29">
        <f>IF(ShowEnd=FALSE,"",VLOOKUP(DataID,DataRange,Data!U$2,FALSE))</f>
        <v>0</v>
      </c>
      <c r="R74" s="29">
        <f>IF(ShowEnd=FALSE,"",VLOOKUP(DataID,DataRange,Data!V$2,FALSE))</f>
        <v>0</v>
      </c>
      <c r="S74" s="29">
        <f>IF(ShowEnd=FALSE,"",VLOOKUP(DataID,DataRange,Data!W$2,FALSE))</f>
        <v>0</v>
      </c>
      <c r="T74" s="29">
        <f>IF(ShowEnd=FALSE,"",VLOOKUP(DataID,DataRange,Data!X$2,FALSE))</f>
        <v>0</v>
      </c>
      <c r="U74" s="29">
        <f>IF(ShowEnd=FALSE,"",VLOOKUP(DataID,DataRange,Data!Y$2,FALSE))</f>
        <v>0</v>
      </c>
      <c r="V74" s="29">
        <f>IF(ShowEnd=FALSE,"",VLOOKUP(DataID,DataRange,Data!Z$2,FALSE))</f>
        <v>0</v>
      </c>
      <c r="W74" s="29">
        <f>IF(ShowEnd=FALSE,"",VLOOKUP(DataID,DataRange,Data!AA$2,FALSE))</f>
        <v>0</v>
      </c>
      <c r="X74" s="29">
        <f>IF(ShowEnd=FALSE,"",VLOOKUP(DataID,DataRange,Data!AB$2,FALSE))</f>
        <v>0</v>
      </c>
      <c r="Y74" s="29">
        <f>IF(ShowEnd=FALSE,"",VLOOKUP(DataID,DataRange,Data!AC$2,FALSE))</f>
        <v>0</v>
      </c>
      <c r="Z74" s="29">
        <f>IF(ShowEnd=FALSE,"",VLOOKUP(DataID,DataRange,Data!AD$2,FALSE))</f>
        <v>0</v>
      </c>
    </row>
    <row r="75" spans="2:26" x14ac:dyDescent="0.25">
      <c r="B75" s="27" t="s">
        <v>141</v>
      </c>
      <c r="C75" s="29">
        <f>IF(ShowAvg=FALSE,"",VLOOKUP(DataID,DataRange,Data!AF$2,FALSE))</f>
        <v>0</v>
      </c>
      <c r="D75" s="29">
        <f t="shared" ref="D75:N75" si="1">C75</f>
        <v>0</v>
      </c>
      <c r="E75" s="29">
        <f t="shared" si="1"/>
        <v>0</v>
      </c>
      <c r="F75" s="29">
        <f t="shared" si="1"/>
        <v>0</v>
      </c>
      <c r="G75" s="29">
        <f t="shared" si="1"/>
        <v>0</v>
      </c>
      <c r="H75" s="29">
        <f t="shared" si="1"/>
        <v>0</v>
      </c>
      <c r="I75" s="29">
        <f t="shared" si="1"/>
        <v>0</v>
      </c>
      <c r="J75" s="29">
        <f t="shared" si="1"/>
        <v>0</v>
      </c>
      <c r="K75" s="29">
        <f t="shared" si="1"/>
        <v>0</v>
      </c>
      <c r="L75" s="29">
        <f t="shared" si="1"/>
        <v>0</v>
      </c>
      <c r="M75" s="29">
        <f t="shared" si="1"/>
        <v>0</v>
      </c>
      <c r="N75" s="29">
        <f t="shared" si="1"/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x14ac:dyDescent="0.25">
      <c r="B76" s="27" t="s">
        <v>142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f>IF(ShowAvg=FALSE,"",VLOOKUP(DataID,DataRange,Data!AG$2,FALSE))</f>
        <v>0</v>
      </c>
      <c r="P76" s="29">
        <f>O76</f>
        <v>0</v>
      </c>
      <c r="Q76" s="29">
        <f t="shared" ref="Q76:Z76" si="2">P76</f>
        <v>0</v>
      </c>
      <c r="R76" s="29">
        <f t="shared" si="2"/>
        <v>0</v>
      </c>
      <c r="S76" s="29">
        <f t="shared" si="2"/>
        <v>0</v>
      </c>
      <c r="T76" s="29">
        <f t="shared" si="2"/>
        <v>0</v>
      </c>
      <c r="U76" s="29">
        <f t="shared" si="2"/>
        <v>0</v>
      </c>
      <c r="V76" s="29">
        <f t="shared" si="2"/>
        <v>0</v>
      </c>
      <c r="W76" s="29">
        <f t="shared" si="2"/>
        <v>0</v>
      </c>
      <c r="X76" s="29">
        <f t="shared" si="2"/>
        <v>0</v>
      </c>
      <c r="Y76" s="29">
        <f t="shared" si="2"/>
        <v>0</v>
      </c>
      <c r="Z76" s="29">
        <f t="shared" si="2"/>
        <v>0</v>
      </c>
    </row>
    <row r="78" spans="2:26" x14ac:dyDescent="0.25">
      <c r="B78" t="str">
        <f>VLOOKUP(DataID,DataRange,Data!$C$2,FALSE)</f>
        <v>Pretax Operating ROA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Pretax Operating ROA;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7" name="Button 5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>
    <pageSetUpPr fitToPage="1"/>
  </sheetPr>
  <dimension ref="A2:R30"/>
  <sheetViews>
    <sheetView zoomScale="85" zoomScaleNormal="85" workbookViewId="0"/>
  </sheetViews>
  <sheetFormatPr defaultRowHeight="15" x14ac:dyDescent="0.25"/>
  <cols>
    <col min="1" max="1" width="9.140625" style="65"/>
    <col min="2" max="2" width="10.140625" bestFit="1" customWidth="1"/>
    <col min="3" max="4" width="10.5703125" bestFit="1" customWidth="1"/>
    <col min="5" max="5" width="1.7109375" customWidth="1"/>
    <col min="10" max="10" width="1.7109375" customWidth="1"/>
    <col min="11" max="11" width="10.5703125" style="4" bestFit="1" customWidth="1"/>
    <col min="12" max="12" width="9.140625" style="5"/>
    <col min="16" max="16" width="1.7109375" customWidth="1"/>
    <col min="18" max="18" width="10.28515625" bestFit="1" customWidth="1"/>
  </cols>
  <sheetData>
    <row r="2" spans="1:18" x14ac:dyDescent="0.25">
      <c r="C2" s="8" t="s">
        <v>49</v>
      </c>
      <c r="D2" s="8" t="s">
        <v>50</v>
      </c>
      <c r="F2" s="9" t="s">
        <v>18</v>
      </c>
      <c r="G2" s="9" t="s">
        <v>19</v>
      </c>
      <c r="H2" s="9" t="s">
        <v>20</v>
      </c>
      <c r="I2" s="9" t="s">
        <v>21</v>
      </c>
      <c r="K2" s="9" t="s">
        <v>22</v>
      </c>
      <c r="Q2" s="102" t="s">
        <v>46</v>
      </c>
      <c r="R2" s="102"/>
    </row>
    <row r="3" spans="1:18" x14ac:dyDescent="0.25">
      <c r="A3" s="65" t="s">
        <v>109</v>
      </c>
      <c r="B3" t="s">
        <v>4</v>
      </c>
      <c r="C3" s="5">
        <f>IFERROR(AVERAGE(Data!E8:Q8),0)</f>
        <v>0</v>
      </c>
      <c r="D3" s="5">
        <f>IFERROR(AVERAGE(Data!Q8,Data!S8:AD8),0)</f>
        <v>0</v>
      </c>
      <c r="F3" s="5">
        <f>D3-C3</f>
        <v>0</v>
      </c>
      <c r="G3" s="3">
        <f>C13</f>
        <v>0</v>
      </c>
      <c r="H3" s="3">
        <f>C14</f>
        <v>0</v>
      </c>
      <c r="I3" s="3">
        <f>G3-H3</f>
        <v>0</v>
      </c>
      <c r="K3" s="4">
        <f>F3*I3+R3</f>
        <v>0</v>
      </c>
      <c r="L3" s="5" t="s">
        <v>17</v>
      </c>
      <c r="Q3" s="16">
        <f>IFERROR(D3/SUM($D$3:$D$11),0)</f>
        <v>0</v>
      </c>
      <c r="R3" s="23">
        <f>Q3*$R$18</f>
        <v>0</v>
      </c>
    </row>
    <row r="4" spans="1:18" x14ac:dyDescent="0.25">
      <c r="B4" t="s">
        <v>5</v>
      </c>
      <c r="C4" s="5">
        <f>IFERROR(AVERAGE(Data!E9:Q9),0)</f>
        <v>0</v>
      </c>
      <c r="D4" s="5">
        <f>IFERROR(AVERAGE(Data!Q9,Data!S9:AD9),0)</f>
        <v>0</v>
      </c>
      <c r="F4" s="5">
        <f>D4-C4</f>
        <v>0</v>
      </c>
      <c r="G4" s="3">
        <f>C14</f>
        <v>0</v>
      </c>
      <c r="H4" s="3">
        <f>$H$3</f>
        <v>0</v>
      </c>
      <c r="I4" s="3">
        <f t="shared" ref="I4:I6" si="0">G4-H4</f>
        <v>0</v>
      </c>
      <c r="K4" s="4">
        <f t="shared" ref="K4:K6" si="1">F4*I4+R4</f>
        <v>0</v>
      </c>
      <c r="L4" s="5" t="s">
        <v>17</v>
      </c>
      <c r="Q4" s="16">
        <f t="shared" ref="Q4:Q6" si="2">IFERROR(D4/SUM($D$3:$D$11),0)</f>
        <v>0</v>
      </c>
      <c r="R4" s="23">
        <f t="shared" ref="R4:R11" si="3">Q4*$R$18</f>
        <v>0</v>
      </c>
    </row>
    <row r="5" spans="1:18" x14ac:dyDescent="0.25">
      <c r="B5" t="s">
        <v>6</v>
      </c>
      <c r="C5" s="5">
        <f>IFERROR(AVERAGE(Data!E10:Q10),0)</f>
        <v>0</v>
      </c>
      <c r="D5" s="5">
        <f>IFERROR(AVERAGE(Data!Q10,Data!S10:AD10),0)</f>
        <v>0</v>
      </c>
      <c r="F5" s="5">
        <f>D5-C5</f>
        <v>0</v>
      </c>
      <c r="G5" s="3">
        <f>$H$3</f>
        <v>0</v>
      </c>
      <c r="H5" s="3">
        <v>0</v>
      </c>
      <c r="I5" s="3">
        <f t="shared" si="0"/>
        <v>0</v>
      </c>
      <c r="K5" s="4">
        <f t="shared" si="1"/>
        <v>0</v>
      </c>
      <c r="L5" s="5" t="s">
        <v>17</v>
      </c>
      <c r="M5" s="6"/>
      <c r="Q5" s="16">
        <f t="shared" si="2"/>
        <v>0</v>
      </c>
      <c r="R5" s="23">
        <f t="shared" si="3"/>
        <v>0</v>
      </c>
    </row>
    <row r="6" spans="1:18" x14ac:dyDescent="0.25">
      <c r="B6" t="s">
        <v>7</v>
      </c>
      <c r="C6" s="5">
        <f>IFERROR(AVERAGE(Data!E11:Q11),0)</f>
        <v>0</v>
      </c>
      <c r="D6" s="5">
        <f>IFERROR(AVERAGE(Data!Q11,Data!S11:AD11),0)</f>
        <v>0</v>
      </c>
      <c r="F6" s="5">
        <f>D6-C6</f>
        <v>0</v>
      </c>
      <c r="G6" s="2">
        <v>0</v>
      </c>
      <c r="H6" s="3">
        <f>$H$3</f>
        <v>0</v>
      </c>
      <c r="I6" s="3">
        <f t="shared" si="0"/>
        <v>0</v>
      </c>
      <c r="K6" s="4">
        <f t="shared" si="1"/>
        <v>0</v>
      </c>
      <c r="L6" s="5" t="s">
        <v>17</v>
      </c>
      <c r="M6" s="6"/>
      <c r="Q6" s="16">
        <f t="shared" si="2"/>
        <v>0</v>
      </c>
      <c r="R6" s="23">
        <f t="shared" si="3"/>
        <v>0</v>
      </c>
    </row>
    <row r="8" spans="1:18" x14ac:dyDescent="0.25">
      <c r="A8" s="65" t="s">
        <v>114</v>
      </c>
      <c r="B8" t="s">
        <v>25</v>
      </c>
      <c r="C8" s="5">
        <f>IFERROR(AVERAGE(Data!E14:Q14),0)</f>
        <v>0</v>
      </c>
      <c r="D8" s="5">
        <f>IFERROR(AVERAGE(Data!Q14,Data!S14:AD14),0)</f>
        <v>0</v>
      </c>
      <c r="F8" s="5">
        <f>D8-C8</f>
        <v>0</v>
      </c>
      <c r="G8" s="3">
        <f>$H$3</f>
        <v>0</v>
      </c>
      <c r="H8" s="3">
        <f>C15</f>
        <v>0</v>
      </c>
      <c r="I8" s="3">
        <f>G8-H8</f>
        <v>0</v>
      </c>
      <c r="K8" s="4">
        <f>F8*I8+R8</f>
        <v>0</v>
      </c>
      <c r="L8" s="5" t="s">
        <v>17</v>
      </c>
      <c r="Q8" s="1">
        <f>IFERROR(D8/SUM($D$3:$D$11),0)</f>
        <v>0</v>
      </c>
      <c r="R8" s="24">
        <f t="shared" si="3"/>
        <v>0</v>
      </c>
    </row>
    <row r="9" spans="1:18" x14ac:dyDescent="0.25">
      <c r="A9" s="65" t="s">
        <v>115</v>
      </c>
      <c r="B9" t="s">
        <v>26</v>
      </c>
      <c r="C9" s="5">
        <f>IFERROR(AVERAGE(Data!E15:Q15),0)</f>
        <v>0</v>
      </c>
      <c r="D9" s="5">
        <f>IFERROR(AVERAGE(Data!Q15,Data!S15:AD15),0)</f>
        <v>0</v>
      </c>
      <c r="F9" s="5">
        <f>D9-C9</f>
        <v>0</v>
      </c>
      <c r="G9" s="3">
        <f>$H$3</f>
        <v>0</v>
      </c>
      <c r="H9" s="3">
        <f>C16</f>
        <v>0</v>
      </c>
      <c r="I9" s="3">
        <f t="shared" ref="I9:I11" si="4">G9-H9</f>
        <v>0</v>
      </c>
      <c r="K9" s="4">
        <f t="shared" ref="K9:K11" si="5">F9*I9+R9</f>
        <v>0</v>
      </c>
      <c r="L9" s="5" t="s">
        <v>17</v>
      </c>
      <c r="Q9" s="1">
        <f t="shared" ref="Q9:Q11" si="6">IFERROR(D9/SUM($D$3:$D$11),0)</f>
        <v>0</v>
      </c>
      <c r="R9" s="24">
        <f t="shared" si="3"/>
        <v>0</v>
      </c>
    </row>
    <row r="10" spans="1:18" x14ac:dyDescent="0.25">
      <c r="B10" t="s">
        <v>10</v>
      </c>
      <c r="C10" s="5">
        <f>IFERROR(AVERAGE(Data!E16:Q16),0)</f>
        <v>0</v>
      </c>
      <c r="D10" s="5">
        <f>IFERROR(AVERAGE(Data!Q16,Data!S16:AD16),0)</f>
        <v>0</v>
      </c>
      <c r="F10" s="5">
        <f>D10-C10</f>
        <v>0</v>
      </c>
      <c r="G10" s="3">
        <f>$H$3</f>
        <v>0</v>
      </c>
      <c r="H10" s="2">
        <v>0</v>
      </c>
      <c r="I10" s="3">
        <f t="shared" si="4"/>
        <v>0</v>
      </c>
      <c r="K10" s="4">
        <f t="shared" si="5"/>
        <v>0</v>
      </c>
      <c r="L10" s="5" t="s">
        <v>17</v>
      </c>
      <c r="M10" s="6"/>
      <c r="Q10" s="1">
        <f t="shared" si="6"/>
        <v>0</v>
      </c>
      <c r="R10" s="24">
        <f t="shared" si="3"/>
        <v>0</v>
      </c>
    </row>
    <row r="11" spans="1:18" x14ac:dyDescent="0.25">
      <c r="B11" t="s">
        <v>40</v>
      </c>
      <c r="C11" s="5">
        <f>IFERROR(AVERAGE(Data!E17:Q17),0)</f>
        <v>0</v>
      </c>
      <c r="D11" s="5">
        <f>IFERROR(AVERAGE(Data!Q17,Data!S17:AD17),0)</f>
        <v>0</v>
      </c>
      <c r="F11" s="5">
        <f>D11-C11</f>
        <v>0</v>
      </c>
      <c r="G11" s="3">
        <f>$H$3</f>
        <v>0</v>
      </c>
      <c r="H11" s="2">
        <v>0</v>
      </c>
      <c r="I11" s="3">
        <f t="shared" si="4"/>
        <v>0</v>
      </c>
      <c r="K11" s="4">
        <f t="shared" si="5"/>
        <v>0</v>
      </c>
      <c r="L11" s="5" t="s">
        <v>17</v>
      </c>
      <c r="M11" s="6"/>
      <c r="Q11" s="1">
        <f t="shared" si="6"/>
        <v>0</v>
      </c>
      <c r="R11" s="24">
        <f t="shared" si="3"/>
        <v>0</v>
      </c>
    </row>
    <row r="13" spans="1:18" x14ac:dyDescent="0.25">
      <c r="A13" s="65" t="s">
        <v>96</v>
      </c>
      <c r="B13" t="s">
        <v>14</v>
      </c>
      <c r="C13" s="3">
        <f>IFERROR(Data!AF22/C3,0)</f>
        <v>0</v>
      </c>
      <c r="D13" s="3">
        <f>IFERROR(Data!AG22/D3,0)</f>
        <v>0</v>
      </c>
      <c r="F13" s="3">
        <f>D13-C13</f>
        <v>0</v>
      </c>
      <c r="K13" s="4">
        <f>F13*D3</f>
        <v>0</v>
      </c>
      <c r="L13" s="5" t="s">
        <v>16</v>
      </c>
      <c r="M13" s="7"/>
    </row>
    <row r="14" spans="1:18" x14ac:dyDescent="0.25">
      <c r="A14" s="65" t="s">
        <v>97</v>
      </c>
      <c r="B14" t="s">
        <v>15</v>
      </c>
      <c r="C14" s="3">
        <f>IFERROR(Data!AF23/C4,0)</f>
        <v>0</v>
      </c>
      <c r="D14" s="3">
        <f>IFERROR(Data!AG23/D4,0)</f>
        <v>0</v>
      </c>
      <c r="F14" s="3">
        <f>D14-C14</f>
        <v>0</v>
      </c>
      <c r="K14" s="4">
        <f>F14*D4</f>
        <v>0</v>
      </c>
      <c r="L14" s="5" t="s">
        <v>16</v>
      </c>
      <c r="M14" s="7"/>
    </row>
    <row r="15" spans="1:18" x14ac:dyDescent="0.25">
      <c r="A15" s="65" t="s">
        <v>98</v>
      </c>
      <c r="B15" t="s">
        <v>8</v>
      </c>
      <c r="C15" s="3">
        <f>IFERROR(Data!AF24/C8,0)</f>
        <v>0</v>
      </c>
      <c r="D15" s="3">
        <f>IFERROR(Data!AG24/D8,0)</f>
        <v>0</v>
      </c>
      <c r="F15" s="3">
        <f>D15-C15</f>
        <v>0</v>
      </c>
      <c r="K15" s="4">
        <f>-F15*D8</f>
        <v>0</v>
      </c>
      <c r="L15" s="5" t="s">
        <v>16</v>
      </c>
      <c r="M15" s="7"/>
    </row>
    <row r="16" spans="1:18" x14ac:dyDescent="0.25">
      <c r="A16" s="65" t="s">
        <v>99</v>
      </c>
      <c r="B16" t="s">
        <v>9</v>
      </c>
      <c r="C16" s="3">
        <f>IFERROR(Data!AF25/C9,0)</f>
        <v>0</v>
      </c>
      <c r="D16" s="3">
        <f>IFERROR(Data!AG25/D9,0)</f>
        <v>0</v>
      </c>
      <c r="F16" s="3">
        <f>D16-C16</f>
        <v>0</v>
      </c>
      <c r="K16" s="4">
        <f>-F16*D9</f>
        <v>0</v>
      </c>
      <c r="L16" s="5" t="s">
        <v>16</v>
      </c>
      <c r="M16" s="7"/>
    </row>
    <row r="18" spans="2:18" x14ac:dyDescent="0.25">
      <c r="B18" t="s">
        <v>11</v>
      </c>
      <c r="C18" s="5">
        <f>Data!AF26</f>
        <v>0</v>
      </c>
      <c r="D18" s="5">
        <f>Data!AG26</f>
        <v>0</v>
      </c>
      <c r="F18" s="5">
        <f>D18-C18</f>
        <v>0</v>
      </c>
      <c r="K18" s="4">
        <f>SUM(K3:K17)</f>
        <v>0</v>
      </c>
      <c r="L18" s="5">
        <f>F18-K18</f>
        <v>0</v>
      </c>
      <c r="R18" s="25"/>
    </row>
    <row r="20" spans="2:18" x14ac:dyDescent="0.25">
      <c r="B20" t="s">
        <v>12</v>
      </c>
      <c r="C20" s="5">
        <f>Data!AF28</f>
        <v>0</v>
      </c>
      <c r="D20" s="5">
        <f>Data!AG28</f>
        <v>0</v>
      </c>
      <c r="F20" s="5">
        <f>D20-C20</f>
        <v>0</v>
      </c>
      <c r="K20" s="4">
        <f>D20-C20</f>
        <v>0</v>
      </c>
      <c r="L20" s="5">
        <f>ROUND(K20-F20,0)</f>
        <v>0</v>
      </c>
    </row>
    <row r="21" spans="2:18" x14ac:dyDescent="0.25">
      <c r="C21" s="5"/>
      <c r="D21" s="5"/>
      <c r="F21" s="5"/>
    </row>
    <row r="22" spans="2:18" x14ac:dyDescent="0.25">
      <c r="B22" t="s">
        <v>38</v>
      </c>
      <c r="C22" s="5">
        <f>C18+C20</f>
        <v>0</v>
      </c>
      <c r="D22" s="5">
        <f>D18+D20</f>
        <v>0</v>
      </c>
      <c r="F22" s="5">
        <f>D22-C22</f>
        <v>0</v>
      </c>
      <c r="K22" s="4">
        <f>D22-C22</f>
        <v>0</v>
      </c>
    </row>
    <row r="23" spans="2:18" x14ac:dyDescent="0.25">
      <c r="C23" s="5"/>
      <c r="D23" s="5"/>
      <c r="F23" s="5"/>
    </row>
    <row r="24" spans="2:18" x14ac:dyDescent="0.25">
      <c r="B24" t="s">
        <v>13</v>
      </c>
      <c r="C24" s="5">
        <f>Data!AF29</f>
        <v>0</v>
      </c>
      <c r="D24" s="5">
        <f>Data!AG29</f>
        <v>0</v>
      </c>
      <c r="F24" s="5">
        <f>D24-C24</f>
        <v>0</v>
      </c>
      <c r="K24" s="4">
        <f>-F24</f>
        <v>0</v>
      </c>
      <c r="L24" s="5">
        <f>ROUND(K24+F24,0)</f>
        <v>0</v>
      </c>
    </row>
    <row r="26" spans="2:18" x14ac:dyDescent="0.25">
      <c r="B26" t="s">
        <v>1</v>
      </c>
      <c r="C26" s="5">
        <f>Data!AF31</f>
        <v>0</v>
      </c>
      <c r="D26" s="5">
        <f>Data!AG31</f>
        <v>0</v>
      </c>
      <c r="F26" s="5">
        <f>D26-C26</f>
        <v>0</v>
      </c>
      <c r="K26" s="4">
        <f>-F26</f>
        <v>0</v>
      </c>
      <c r="L26" s="5">
        <f>ROUND(K26+F26,0)</f>
        <v>0</v>
      </c>
    </row>
    <row r="27" spans="2:18" x14ac:dyDescent="0.25">
      <c r="B27" t="s">
        <v>2</v>
      </c>
      <c r="C27" s="5">
        <f>Data!AF32</f>
        <v>0</v>
      </c>
      <c r="D27" s="5">
        <f>Data!AG32</f>
        <v>0</v>
      </c>
      <c r="F27" s="5">
        <f>D27-C27</f>
        <v>0</v>
      </c>
      <c r="K27" s="4">
        <f>-F27</f>
        <v>0</v>
      </c>
      <c r="L27" s="5">
        <f>ROUND(K27+F27,0)</f>
        <v>0</v>
      </c>
    </row>
    <row r="29" spans="2:18" x14ac:dyDescent="0.25">
      <c r="B29" t="s">
        <v>3</v>
      </c>
      <c r="C29" s="5">
        <f>C22-C24-C27</f>
        <v>0</v>
      </c>
      <c r="D29" s="5">
        <f>D22-D24-D27</f>
        <v>0</v>
      </c>
      <c r="F29" s="5">
        <f>D29-C29</f>
        <v>0</v>
      </c>
      <c r="K29" s="4">
        <f>SUM(K18,K20:K20,K24,K27)</f>
        <v>0</v>
      </c>
      <c r="L29" s="5">
        <f>ROUND(K29-F29,0)</f>
        <v>0</v>
      </c>
    </row>
    <row r="30" spans="2:18" x14ac:dyDescent="0.25">
      <c r="B30" t="s">
        <v>41</v>
      </c>
      <c r="C30" s="5">
        <f>ROUND(C22-C24-C27-C29,0)</f>
        <v>0</v>
      </c>
      <c r="D30" s="5">
        <f>ROUND(D22-D24-D27-D29,0)</f>
        <v>0</v>
      </c>
      <c r="F30" s="5">
        <f>ROUND(F22-F24-F27-F29,0)</f>
        <v>0</v>
      </c>
    </row>
  </sheetData>
  <mergeCells count="1">
    <mergeCell ref="Q2:R2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B2:R41"/>
  <sheetViews>
    <sheetView showGridLines="0" zoomScaleNormal="100" workbookViewId="0"/>
  </sheetViews>
  <sheetFormatPr defaultRowHeight="15" x14ac:dyDescent="0.25"/>
  <cols>
    <col min="1" max="1" width="1.7109375" customWidth="1"/>
    <col min="2" max="2" width="9.140625" hidden="1" customWidth="1"/>
    <col min="3" max="3" width="30.140625" customWidth="1"/>
    <col min="4" max="4" width="1.7109375" customWidth="1"/>
    <col min="5" max="7" width="12.7109375" customWidth="1"/>
    <col min="8" max="8" width="8.7109375" style="17" customWidth="1"/>
    <col min="9" max="9" width="12.7109375" customWidth="1"/>
    <col min="10" max="10" width="60.7109375" customWidth="1"/>
    <col min="13" max="17" width="9.140625" hidden="1" customWidth="1"/>
    <col min="18" max="18" width="0" hidden="1" customWidth="1"/>
    <col min="19" max="20" width="9.140625" customWidth="1"/>
  </cols>
  <sheetData>
    <row r="2" spans="2:18" x14ac:dyDescent="0.25">
      <c r="H2" s="65"/>
    </row>
    <row r="3" spans="2:18" s="20" customFormat="1" ht="23.25" x14ac:dyDescent="0.35">
      <c r="C3" s="21" t="str">
        <f>_xlfn.CONCAT(TEXT(Data!AD6,"yyy")," Budget Analysis")</f>
        <v>2023 Budget Analysis</v>
      </c>
      <c r="D3" s="21"/>
      <c r="E3" s="21"/>
      <c r="F3" s="21"/>
      <c r="G3" s="21"/>
      <c r="H3" s="22"/>
      <c r="I3" s="21"/>
      <c r="J3" s="21"/>
    </row>
    <row r="5" spans="2:18" x14ac:dyDescent="0.25">
      <c r="E5" s="15" t="str">
        <f>_xlfn.CONCAT("Actual ",TEXT(Data!Q6,"yyy"))</f>
        <v>Actual 2022</v>
      </c>
      <c r="F5" s="15" t="str">
        <f>_xlfn.CONCAT("Budget ",TEXT(Data!AD6,"yyy"))</f>
        <v>Budget 2023</v>
      </c>
      <c r="G5" s="15" t="s">
        <v>18</v>
      </c>
      <c r="H5" s="15" t="s">
        <v>94</v>
      </c>
      <c r="I5" s="15" t="s">
        <v>22</v>
      </c>
      <c r="J5" s="15" t="s">
        <v>34</v>
      </c>
      <c r="M5" s="67" t="b">
        <v>0</v>
      </c>
      <c r="N5" t="s">
        <v>168</v>
      </c>
    </row>
    <row r="6" spans="2:18" hidden="1" x14ac:dyDescent="0.25">
      <c r="C6" s="10" t="s">
        <v>35</v>
      </c>
    </row>
    <row r="7" spans="2:18" hidden="1" x14ac:dyDescent="0.25">
      <c r="B7" t="s">
        <v>13</v>
      </c>
      <c r="C7" s="30" t="s">
        <v>23</v>
      </c>
      <c r="D7" s="30"/>
      <c r="E7" s="31">
        <f>VLOOKUP($B7,RateVolData!$B:$K,2,FALSE)</f>
        <v>0</v>
      </c>
      <c r="F7" s="31">
        <f>VLOOKUP($B7,RateVolData!$B:$K,3,FALSE)</f>
        <v>0</v>
      </c>
      <c r="G7" s="31">
        <f>VLOOKUP($B7,RateVolData!$B:$K,5,FALSE)</f>
        <v>0</v>
      </c>
      <c r="H7" s="109">
        <f>IFERROR(G7/E7,0)</f>
        <v>0</v>
      </c>
      <c r="I7" s="31">
        <f>VLOOKUP($B7,RateVolData!$B:$K,10,FALSE)</f>
        <v>0</v>
      </c>
      <c r="J7" s="4">
        <f t="shared" ref="J7:J8" si="0">I7</f>
        <v>0</v>
      </c>
    </row>
    <row r="8" spans="2:18" hidden="1" x14ac:dyDescent="0.25">
      <c r="B8" t="s">
        <v>2</v>
      </c>
      <c r="C8" s="30" t="s">
        <v>24</v>
      </c>
      <c r="D8" s="30"/>
      <c r="E8" s="31">
        <f>VLOOKUP($B8,RateVolData!$B:$K,2,FALSE)</f>
        <v>0</v>
      </c>
      <c r="F8" s="31">
        <f>VLOOKUP($B8,RateVolData!$B:$K,3,FALSE)</f>
        <v>0</v>
      </c>
      <c r="G8" s="31">
        <f>VLOOKUP($B8,RateVolData!$B:$K,5,FALSE)</f>
        <v>0</v>
      </c>
      <c r="H8" s="109">
        <f>IFERROR(G8/E8,0)</f>
        <v>0</v>
      </c>
      <c r="I8" s="31">
        <f>VLOOKUP($B8,RateVolData!$B:$K,10,FALSE)</f>
        <v>0</v>
      </c>
      <c r="J8" s="4">
        <f t="shared" si="0"/>
        <v>0</v>
      </c>
    </row>
    <row r="9" spans="2:18" ht="6" customHeight="1" x14ac:dyDescent="0.25">
      <c r="H9" s="110"/>
      <c r="J9">
        <v>0</v>
      </c>
    </row>
    <row r="10" spans="2:18" s="79" customFormat="1" ht="30" customHeight="1" x14ac:dyDescent="0.25">
      <c r="C10" s="80" t="s">
        <v>42</v>
      </c>
      <c r="D10" s="81"/>
      <c r="E10" s="82">
        <f>SUM(E7:E8)</f>
        <v>0</v>
      </c>
      <c r="F10" s="82">
        <f>SUM(F7:F8)</f>
        <v>0</v>
      </c>
      <c r="G10" s="82">
        <f>SUM(G7:G8)</f>
        <v>0</v>
      </c>
      <c r="H10" s="111">
        <f>IFERROR(G10/E10,0)</f>
        <v>0</v>
      </c>
      <c r="I10" s="82">
        <f>SUM(I7:I8)</f>
        <v>0</v>
      </c>
      <c r="J10" s="83">
        <f t="shared" ref="J10" si="1">I10</f>
        <v>0</v>
      </c>
    </row>
    <row r="11" spans="2:18" ht="6" customHeight="1" x14ac:dyDescent="0.25">
      <c r="H11" s="110"/>
      <c r="J11">
        <v>0</v>
      </c>
    </row>
    <row r="12" spans="2:18" hidden="1" x14ac:dyDescent="0.25">
      <c r="C12" s="10" t="s">
        <v>39</v>
      </c>
      <c r="H12" s="110"/>
      <c r="J12">
        <v>0</v>
      </c>
    </row>
    <row r="13" spans="2:18" hidden="1" x14ac:dyDescent="0.25">
      <c r="B13" t="str">
        <f>VLOOKUP($M13,$N$13:$P$20,2,FALSE)</f>
        <v>Lns</v>
      </c>
      <c r="C13" t="str">
        <f>VLOOKUP($M13,$N$13:$P$20,3,FALSE)</f>
        <v>Loans</v>
      </c>
      <c r="E13" s="4">
        <f>VLOOKUP($B13,RateVolData!$B:$K,2,FALSE)</f>
        <v>0</v>
      </c>
      <c r="F13" s="4">
        <f>VLOOKUP($B13,RateVolData!$B:$K,3,FALSE)</f>
        <v>0</v>
      </c>
      <c r="G13" s="4">
        <f>VLOOKUP($B13,RateVolData!$B:$K,5,FALSE)</f>
        <v>0</v>
      </c>
      <c r="H13" s="110">
        <f t="shared" ref="H13:H20" si="2">IFERROR(G13/E13,0)</f>
        <v>0</v>
      </c>
      <c r="I13" s="4">
        <f>VLOOKUP($B13,RateVolData!$B:$K,10,FALSE)</f>
        <v>0</v>
      </c>
      <c r="J13" s="4">
        <f t="shared" ref="J13:J20" si="3">I13</f>
        <v>0</v>
      </c>
      <c r="M13">
        <v>1</v>
      </c>
      <c r="N13">
        <f>RANK(Q13,$Q$13:$Q$20)</f>
        <v>1</v>
      </c>
      <c r="O13" t="s">
        <v>4</v>
      </c>
      <c r="P13" t="s">
        <v>0</v>
      </c>
      <c r="Q13" s="4">
        <f>VLOOKUP($O13,RateVolData!$B:$K,10,FALSE)+R13</f>
        <v>9.6794488135145001E-7</v>
      </c>
      <c r="R13">
        <v>9.6794488135145001E-7</v>
      </c>
    </row>
    <row r="14" spans="2:18" hidden="1" x14ac:dyDescent="0.25">
      <c r="B14" t="str">
        <f t="shared" ref="B14:B20" si="4">VLOOKUP($M14,$N$13:$P$20,2,FALSE)</f>
        <v>Rel Bal</v>
      </c>
      <c r="C14" t="str">
        <f t="shared" ref="C14:C20" si="5">VLOOKUP($M14,$N$13:$P$20,3,FALSE)</f>
        <v>Relationship Deposits</v>
      </c>
      <c r="E14" s="4">
        <f>VLOOKUP($B14,RateVolData!$B:$K,2,FALSE)</f>
        <v>0</v>
      </c>
      <c r="F14" s="4">
        <f>VLOOKUP($B14,RateVolData!$B:$K,3,FALSE)</f>
        <v>0</v>
      </c>
      <c r="G14" s="4">
        <f>VLOOKUP($B14,RateVolData!$B:$K,5,FALSE)</f>
        <v>0</v>
      </c>
      <c r="H14" s="110">
        <f t="shared" si="2"/>
        <v>0</v>
      </c>
      <c r="I14" s="4">
        <f>VLOOKUP($B14,RateVolData!$B:$K,10,FALSE)</f>
        <v>0</v>
      </c>
      <c r="J14" s="4">
        <f t="shared" si="3"/>
        <v>0</v>
      </c>
      <c r="M14">
        <v>2</v>
      </c>
      <c r="N14">
        <f t="shared" ref="N14:N20" si="6">RANK(Q14,$Q$13:$Q$20)</f>
        <v>3</v>
      </c>
      <c r="O14" t="s">
        <v>6</v>
      </c>
      <c r="P14" t="s">
        <v>27</v>
      </c>
      <c r="Q14" s="4">
        <f>VLOOKUP($O14,RateVolData!$B:$K,10,FALSE)+R14</f>
        <v>8.7461700027922399E-7</v>
      </c>
      <c r="R14">
        <v>8.7461700027922399E-7</v>
      </c>
    </row>
    <row r="15" spans="2:18" hidden="1" x14ac:dyDescent="0.25">
      <c r="B15" t="str">
        <f t="shared" si="4"/>
        <v>LLR</v>
      </c>
      <c r="C15" t="str">
        <f t="shared" si="5"/>
        <v>Loan Loss Reserve</v>
      </c>
      <c r="E15" s="4">
        <f>VLOOKUP($B15,RateVolData!$B:$K,2,FALSE)</f>
        <v>0</v>
      </c>
      <c r="F15" s="4">
        <f>VLOOKUP($B15,RateVolData!$B:$K,3,FALSE)</f>
        <v>0</v>
      </c>
      <c r="G15" s="4">
        <f>VLOOKUP($B15,RateVolData!$B:$K,5,FALSE)</f>
        <v>0</v>
      </c>
      <c r="H15" s="110">
        <f t="shared" si="2"/>
        <v>0</v>
      </c>
      <c r="I15" s="4">
        <f>VLOOKUP($B15,RateVolData!$B:$K,10,FALSE)</f>
        <v>0</v>
      </c>
      <c r="J15" s="4">
        <f t="shared" si="3"/>
        <v>0</v>
      </c>
      <c r="M15">
        <v>3</v>
      </c>
      <c r="N15">
        <f t="shared" si="6"/>
        <v>5</v>
      </c>
      <c r="O15" t="s">
        <v>7</v>
      </c>
      <c r="P15" t="s">
        <v>28</v>
      </c>
      <c r="Q15" s="4">
        <f>VLOOKUP($O15,RateVolData!$B:$K,10,FALSE)+R15</f>
        <v>6.2606678391746196E-7</v>
      </c>
      <c r="R15">
        <v>6.2606678391746196E-7</v>
      </c>
    </row>
    <row r="16" spans="2:18" hidden="1" x14ac:dyDescent="0.25">
      <c r="B16" t="str">
        <f t="shared" si="4"/>
        <v>NII</v>
      </c>
      <c r="C16" t="str">
        <f t="shared" si="5"/>
        <v>Non-Interest Income</v>
      </c>
      <c r="E16" s="4">
        <f>VLOOKUP($B16,RateVolData!$B:$K,2,FALSE)</f>
        <v>0</v>
      </c>
      <c r="F16" s="4">
        <f>VLOOKUP($B16,RateVolData!$B:$K,3,FALSE)</f>
        <v>0</v>
      </c>
      <c r="G16" s="4">
        <f>VLOOKUP($B16,RateVolData!$B:$K,5,FALSE)</f>
        <v>0</v>
      </c>
      <c r="H16" s="110">
        <f t="shared" si="2"/>
        <v>0</v>
      </c>
      <c r="I16" s="4">
        <f>VLOOKUP($B16,RateVolData!$B:$K,10,FALSE)</f>
        <v>0</v>
      </c>
      <c r="J16" s="4">
        <f t="shared" si="3"/>
        <v>0</v>
      </c>
      <c r="M16">
        <v>4</v>
      </c>
      <c r="N16">
        <f t="shared" si="6"/>
        <v>2</v>
      </c>
      <c r="O16" t="s">
        <v>25</v>
      </c>
      <c r="P16" t="s">
        <v>62</v>
      </c>
      <c r="Q16" s="4">
        <f>VLOOKUP($O16,RateVolData!$B:$K,10,FALSE)+R16</f>
        <v>9.0481324163270997E-7</v>
      </c>
      <c r="R16">
        <v>9.0481324163270997E-7</v>
      </c>
    </row>
    <row r="17" spans="2:18" hidden="1" x14ac:dyDescent="0.25">
      <c r="B17" t="str">
        <f t="shared" si="4"/>
        <v>NEA</v>
      </c>
      <c r="C17" t="str">
        <f t="shared" si="5"/>
        <v>Non-Earning Assets</v>
      </c>
      <c r="E17" s="4">
        <f>VLOOKUP($B17,RateVolData!$B:$K,2,FALSE)</f>
        <v>0</v>
      </c>
      <c r="F17" s="4">
        <f>VLOOKUP($B17,RateVolData!$B:$K,3,FALSE)</f>
        <v>0</v>
      </c>
      <c r="G17" s="4">
        <f>VLOOKUP($B17,RateVolData!$B:$K,5,FALSE)</f>
        <v>0</v>
      </c>
      <c r="H17" s="110">
        <f t="shared" si="2"/>
        <v>0</v>
      </c>
      <c r="I17" s="4">
        <f>VLOOKUP($B17,RateVolData!$B:$K,10,FALSE)</f>
        <v>0</v>
      </c>
      <c r="J17" s="4">
        <f t="shared" si="3"/>
        <v>0</v>
      </c>
      <c r="M17">
        <v>5</v>
      </c>
      <c r="N17">
        <f t="shared" si="6"/>
        <v>8</v>
      </c>
      <c r="O17" t="s">
        <v>26</v>
      </c>
      <c r="P17" t="s">
        <v>29</v>
      </c>
      <c r="Q17" s="4">
        <f>VLOOKUP($O17,RateVolData!$B:$K,10,FALSE)+R17</f>
        <v>8.1397422404658999E-8</v>
      </c>
      <c r="R17">
        <v>8.1397422404658999E-8</v>
      </c>
    </row>
    <row r="18" spans="2:18" hidden="1" x14ac:dyDescent="0.25">
      <c r="B18" t="str">
        <f t="shared" si="4"/>
        <v>Other</v>
      </c>
      <c r="C18" t="str">
        <f t="shared" si="5"/>
        <v>Other Liabilities</v>
      </c>
      <c r="E18" s="4">
        <f>VLOOKUP($B18,RateVolData!$B:$K,2,FALSE)</f>
        <v>0</v>
      </c>
      <c r="F18" s="4">
        <f>VLOOKUP($B18,RateVolData!$B:$K,3,FALSE)</f>
        <v>0</v>
      </c>
      <c r="G18" s="4">
        <f>VLOOKUP($B18,RateVolData!$B:$K,5,FALSE)</f>
        <v>0</v>
      </c>
      <c r="H18" s="110">
        <f t="shared" si="2"/>
        <v>0</v>
      </c>
      <c r="I18" s="4">
        <f>VLOOKUP($B18,RateVolData!$B:$K,10,FALSE)</f>
        <v>0</v>
      </c>
      <c r="J18" s="4">
        <f t="shared" si="3"/>
        <v>0</v>
      </c>
      <c r="M18">
        <v>6</v>
      </c>
      <c r="N18">
        <f t="shared" si="6"/>
        <v>6</v>
      </c>
      <c r="O18" t="s">
        <v>10</v>
      </c>
      <c r="P18" t="s">
        <v>30</v>
      </c>
      <c r="Q18" s="4">
        <f>VLOOKUP($O18,RateVolData!$B:$K,10,FALSE)+R18</f>
        <v>4.8731350926146505E-7</v>
      </c>
      <c r="R18">
        <v>4.8731350926146505E-7</v>
      </c>
    </row>
    <row r="19" spans="2:18" hidden="1" x14ac:dyDescent="0.25">
      <c r="B19" t="str">
        <f t="shared" si="4"/>
        <v>Cap</v>
      </c>
      <c r="C19" t="str">
        <f t="shared" si="5"/>
        <v>Equity</v>
      </c>
      <c r="E19" s="4">
        <f>VLOOKUP($B19,RateVolData!$B:$K,2,FALSE)</f>
        <v>0</v>
      </c>
      <c r="F19" s="4">
        <f>VLOOKUP($B19,RateVolData!$B:$K,3,FALSE)</f>
        <v>0</v>
      </c>
      <c r="G19" s="4">
        <f>VLOOKUP($B19,RateVolData!$B:$K,5,FALSE)</f>
        <v>0</v>
      </c>
      <c r="H19" s="110">
        <f t="shared" si="2"/>
        <v>0</v>
      </c>
      <c r="I19" s="4">
        <f>VLOOKUP($B19,RateVolData!$B:$K,10,FALSE)</f>
        <v>0</v>
      </c>
      <c r="J19" s="4">
        <f t="shared" si="3"/>
        <v>0</v>
      </c>
      <c r="M19">
        <v>7</v>
      </c>
      <c r="N19">
        <f t="shared" si="6"/>
        <v>7</v>
      </c>
      <c r="O19" t="s">
        <v>40</v>
      </c>
      <c r="P19" t="s">
        <v>63</v>
      </c>
      <c r="Q19" s="4">
        <f>VLOOKUP($O19,RateVolData!$B:$K,10,FALSE)+R19</f>
        <v>3.2133012665399998E-7</v>
      </c>
      <c r="R19">
        <v>3.2133012665399998E-7</v>
      </c>
    </row>
    <row r="20" spans="2:18" hidden="1" x14ac:dyDescent="0.25">
      <c r="B20" t="str">
        <f t="shared" si="4"/>
        <v>RS Bal</v>
      </c>
      <c r="C20" t="str">
        <f t="shared" si="5"/>
        <v>Rate Sensitive Funds</v>
      </c>
      <c r="E20" s="4">
        <f>VLOOKUP($B20,RateVolData!$B:$K,2,FALSE)</f>
        <v>0</v>
      </c>
      <c r="F20" s="4">
        <f>VLOOKUP($B20,RateVolData!$B:$K,3,FALSE)</f>
        <v>0</v>
      </c>
      <c r="G20" s="4">
        <f>VLOOKUP($B20,RateVolData!$B:$K,5,FALSE)</f>
        <v>0</v>
      </c>
      <c r="H20" s="110">
        <f t="shared" si="2"/>
        <v>0</v>
      </c>
      <c r="I20" s="4">
        <f>VLOOKUP($B20,RateVolData!$B:$K,10,FALSE)</f>
        <v>0</v>
      </c>
      <c r="J20" s="4">
        <f t="shared" si="3"/>
        <v>0</v>
      </c>
      <c r="M20">
        <v>8</v>
      </c>
      <c r="N20">
        <f t="shared" si="6"/>
        <v>4</v>
      </c>
      <c r="O20" t="s">
        <v>12</v>
      </c>
      <c r="P20" t="s">
        <v>33</v>
      </c>
      <c r="Q20" s="4">
        <f>VLOOKUP($O20,RateVolData!$B:$K,10,FALSE)+R20</f>
        <v>7.1929209476206395E-7</v>
      </c>
      <c r="R20">
        <v>7.1929209476206395E-7</v>
      </c>
    </row>
    <row r="21" spans="2:18" ht="6" hidden="1" customHeight="1" x14ac:dyDescent="0.25">
      <c r="E21" s="4"/>
      <c r="F21" s="4"/>
      <c r="G21" s="4"/>
      <c r="H21" s="110"/>
      <c r="I21" s="4"/>
      <c r="J21" s="4">
        <v>0</v>
      </c>
    </row>
    <row r="22" spans="2:18" s="79" customFormat="1" ht="18" hidden="1" customHeight="1" x14ac:dyDescent="0.25">
      <c r="C22" s="91" t="s">
        <v>43</v>
      </c>
      <c r="D22" s="91"/>
      <c r="E22" s="92"/>
      <c r="F22" s="92"/>
      <c r="G22" s="92"/>
      <c r="H22" s="112"/>
      <c r="I22" s="92">
        <f>SUM(I13:I21)</f>
        <v>0</v>
      </c>
      <c r="J22" s="92">
        <f t="shared" ref="J22" si="7">I22</f>
        <v>0</v>
      </c>
    </row>
    <row r="23" spans="2:18" ht="6" hidden="1" customHeight="1" x14ac:dyDescent="0.25">
      <c r="H23" s="110"/>
      <c r="J23">
        <v>0</v>
      </c>
    </row>
    <row r="24" spans="2:18" hidden="1" x14ac:dyDescent="0.25">
      <c r="C24" s="10" t="s">
        <v>36</v>
      </c>
      <c r="H24" s="110"/>
      <c r="J24">
        <v>0</v>
      </c>
    </row>
    <row r="25" spans="2:18" hidden="1" x14ac:dyDescent="0.25">
      <c r="B25" t="str">
        <f>VLOOKUP($M25,$N$25:$P$28,2,FALSE)</f>
        <v>LY</v>
      </c>
      <c r="C25" t="str">
        <f>VLOOKUP($M25,$N$25:$P$28,3,FALSE)</f>
        <v>Loan Yield</v>
      </c>
      <c r="E25" s="2">
        <f>VLOOKUP($B25,RateVolData!$B:$K,2,FALSE)</f>
        <v>0</v>
      </c>
      <c r="F25" s="2">
        <f>VLOOKUP($B25,RateVolData!$B:$K,3,FALSE)</f>
        <v>0</v>
      </c>
      <c r="G25" s="2">
        <f>VLOOKUP($B25,RateVolData!$B:$K,5,FALSE)</f>
        <v>0</v>
      </c>
      <c r="H25" s="110"/>
      <c r="I25" s="4">
        <f>VLOOKUP($B25,RateVolData!$B:$K,10,FALSE)</f>
        <v>0</v>
      </c>
      <c r="J25" s="4">
        <f>I25</f>
        <v>0</v>
      </c>
      <c r="M25">
        <v>1</v>
      </c>
      <c r="N25">
        <f>RANK(Q25,Q$25:Q$28)</f>
        <v>1</v>
      </c>
      <c r="O25" t="s">
        <v>14</v>
      </c>
      <c r="P25" t="s">
        <v>31</v>
      </c>
      <c r="Q25" s="4">
        <f>VLOOKUP($O25,RateVolData!$B:$K,10,FALSE)+R25</f>
        <v>6.5727137365865998E-7</v>
      </c>
      <c r="R25">
        <v>6.5727137365865998E-7</v>
      </c>
    </row>
    <row r="26" spans="2:18" hidden="1" x14ac:dyDescent="0.25">
      <c r="B26" t="str">
        <f t="shared" ref="B26:B28" si="8">VLOOKUP($M26,$N$25:$P$28,2,FALSE)</f>
        <v>SFY</v>
      </c>
      <c r="C26" t="str">
        <f t="shared" ref="C26:C28" si="9">VLOOKUP($M26,$N$25:$P$28,3,FALSE)</f>
        <v>Surplus Funds Yield</v>
      </c>
      <c r="E26" s="2">
        <f>VLOOKUP($B26,RateVolData!$B:$K,2,FALSE)</f>
        <v>0</v>
      </c>
      <c r="F26" s="2">
        <f>VLOOKUP($B26,RateVolData!$B:$K,3,FALSE)</f>
        <v>0</v>
      </c>
      <c r="G26" s="2">
        <f>VLOOKUP($B26,RateVolData!$B:$K,5,FALSE)</f>
        <v>0</v>
      </c>
      <c r="H26" s="110"/>
      <c r="I26" s="4">
        <f>VLOOKUP($B26,RateVolData!$B:$K,10,FALSE)</f>
        <v>0</v>
      </c>
      <c r="J26" s="4">
        <f>I26</f>
        <v>0</v>
      </c>
      <c r="M26">
        <v>2</v>
      </c>
      <c r="N26">
        <f>RANK(Q26,Q$25:Q$28)</f>
        <v>2</v>
      </c>
      <c r="O26" t="s">
        <v>15</v>
      </c>
      <c r="P26" t="s">
        <v>32</v>
      </c>
      <c r="Q26" s="4">
        <f>VLOOKUP($O26,RateVolData!$B:$K,10,FALSE)+R26</f>
        <v>2.7994844164685802E-7</v>
      </c>
      <c r="R26">
        <v>2.7994844164685802E-7</v>
      </c>
    </row>
    <row r="27" spans="2:18" hidden="1" x14ac:dyDescent="0.25">
      <c r="B27" t="str">
        <f t="shared" si="8"/>
        <v>Rel</v>
      </c>
      <c r="C27" t="str">
        <f t="shared" si="9"/>
        <v>Relationship Deposit Cost</v>
      </c>
      <c r="E27" s="2">
        <f>VLOOKUP($B27,RateVolData!$B:$K,2,FALSE)</f>
        <v>0</v>
      </c>
      <c r="F27" s="2">
        <f>VLOOKUP($B27,RateVolData!$B:$K,3,FALSE)</f>
        <v>0</v>
      </c>
      <c r="G27" s="2">
        <f>VLOOKUP($B27,RateVolData!$B:$K,5,FALSE)</f>
        <v>0</v>
      </c>
      <c r="H27" s="110"/>
      <c r="I27" s="4">
        <f>VLOOKUP($B27,RateVolData!$B:$K,10,FALSE)</f>
        <v>0</v>
      </c>
      <c r="J27" s="4">
        <f>I27</f>
        <v>0</v>
      </c>
      <c r="M27">
        <v>3</v>
      </c>
      <c r="N27">
        <f>RANK(Q27,Q$25:Q$28)</f>
        <v>3</v>
      </c>
      <c r="O27" t="s">
        <v>8</v>
      </c>
      <c r="P27" t="s">
        <v>150</v>
      </c>
      <c r="Q27" s="4">
        <f>VLOOKUP($O27,RateVolData!$B:$K,10,FALSE)+R27</f>
        <v>2.5090789516367398E-7</v>
      </c>
      <c r="R27">
        <v>2.5090789516367398E-7</v>
      </c>
    </row>
    <row r="28" spans="2:18" hidden="1" x14ac:dyDescent="0.25">
      <c r="B28" t="str">
        <f t="shared" si="8"/>
        <v>RS</v>
      </c>
      <c r="C28" t="str">
        <f t="shared" si="9"/>
        <v>Rate Sensitive Funds Cost</v>
      </c>
      <c r="E28" s="2">
        <f>VLOOKUP($B28,RateVolData!$B:$K,2,FALSE)</f>
        <v>0</v>
      </c>
      <c r="F28" s="2">
        <f>VLOOKUP($B28,RateVolData!$B:$K,3,FALSE)</f>
        <v>0</v>
      </c>
      <c r="G28" s="2">
        <f>VLOOKUP($B28,RateVolData!$B:$K,5,FALSE)</f>
        <v>0</v>
      </c>
      <c r="H28" s="110"/>
      <c r="I28" s="4">
        <f>VLOOKUP($B28,RateVolData!$B:$K,10,FALSE)</f>
        <v>0</v>
      </c>
      <c r="J28" s="4">
        <f>I28</f>
        <v>0</v>
      </c>
      <c r="M28">
        <v>4</v>
      </c>
      <c r="N28">
        <f>RANK(Q28,Q$25:Q$28)</f>
        <v>4</v>
      </c>
      <c r="O28" t="s">
        <v>9</v>
      </c>
      <c r="P28" t="s">
        <v>151</v>
      </c>
      <c r="Q28" s="4">
        <f>VLOOKUP($O28,RateVolData!$B:$K,10,FALSE)+R28</f>
        <v>1.17362363929978E-7</v>
      </c>
      <c r="R28">
        <v>1.17362363929978E-7</v>
      </c>
    </row>
    <row r="29" spans="2:18" ht="6" hidden="1" customHeight="1" x14ac:dyDescent="0.25">
      <c r="H29" s="110"/>
      <c r="J29">
        <v>0</v>
      </c>
    </row>
    <row r="30" spans="2:18" s="79" customFormat="1" ht="18" hidden="1" customHeight="1" x14ac:dyDescent="0.25">
      <c r="C30" s="91" t="s">
        <v>44</v>
      </c>
      <c r="D30" s="91"/>
      <c r="E30" s="91"/>
      <c r="F30" s="91"/>
      <c r="G30" s="91"/>
      <c r="H30" s="112"/>
      <c r="I30" s="93">
        <f>SUM(I25:I29)</f>
        <v>0</v>
      </c>
      <c r="J30" s="92">
        <f t="shared" ref="J30:J32" si="10">I30</f>
        <v>0</v>
      </c>
    </row>
    <row r="31" spans="2:18" ht="6" hidden="1" customHeight="1" x14ac:dyDescent="0.25">
      <c r="H31" s="110"/>
      <c r="J31">
        <v>0</v>
      </c>
    </row>
    <row r="32" spans="2:18" s="79" customFormat="1" ht="30" customHeight="1" x14ac:dyDescent="0.25">
      <c r="B32" s="79" t="s">
        <v>38</v>
      </c>
      <c r="C32" s="84" t="s">
        <v>167</v>
      </c>
      <c r="D32" s="85"/>
      <c r="E32" s="86">
        <f>VLOOKUP($B32,RateVolData!$B:$K,2,FALSE)</f>
        <v>0</v>
      </c>
      <c r="F32" s="86">
        <f>VLOOKUP($B32,RateVolData!$B:$K,3,FALSE)</f>
        <v>0</v>
      </c>
      <c r="G32" s="87">
        <f>F32-E32</f>
        <v>0</v>
      </c>
      <c r="H32" s="113">
        <f>IFERROR(G32/E32,0)</f>
        <v>0</v>
      </c>
      <c r="I32" s="87">
        <f>G32</f>
        <v>0</v>
      </c>
      <c r="J32" s="86">
        <f t="shared" si="10"/>
        <v>0</v>
      </c>
    </row>
    <row r="33" spans="2:10" ht="6" customHeight="1" x14ac:dyDescent="0.25">
      <c r="H33" s="110"/>
      <c r="J33" s="4">
        <v>0</v>
      </c>
    </row>
    <row r="34" spans="2:10" s="79" customFormat="1" ht="15" customHeight="1" x14ac:dyDescent="0.25">
      <c r="B34" s="79" t="s">
        <v>3</v>
      </c>
      <c r="C34" s="88" t="s">
        <v>172</v>
      </c>
      <c r="D34" s="89"/>
      <c r="E34" s="90">
        <f>VLOOKUP($B34,RateVolData!$B:$K,2,FALSE)</f>
        <v>0</v>
      </c>
      <c r="F34" s="90">
        <f>VLOOKUP($B34,RateVolData!$B:$K,3,FALSE)</f>
        <v>0</v>
      </c>
      <c r="G34" s="90">
        <f>VLOOKUP($B34,RateVolData!$B:$K,5,FALSE)</f>
        <v>0</v>
      </c>
      <c r="H34" s="114">
        <f>IFERROR(G34/E34,0)</f>
        <v>0</v>
      </c>
      <c r="I34" s="90">
        <f>VLOOKUP($B34,RateVolData!$B:$K,10,FALSE)</f>
        <v>0</v>
      </c>
      <c r="J34" s="107">
        <f t="shared" ref="J34" si="11">I34</f>
        <v>0</v>
      </c>
    </row>
    <row r="35" spans="2:10" s="79" customFormat="1" ht="15" customHeight="1" x14ac:dyDescent="0.25">
      <c r="C35" s="103" t="s">
        <v>177</v>
      </c>
      <c r="D35" s="104"/>
      <c r="E35" s="105">
        <f>IFERROR(E34/Data!AF12,0)</f>
        <v>0</v>
      </c>
      <c r="F35" s="105">
        <f>IFERROR(F34/Data!AG12,0)</f>
        <v>0</v>
      </c>
      <c r="G35" s="105">
        <f>F35-E35</f>
        <v>0</v>
      </c>
      <c r="H35" s="115"/>
      <c r="I35" s="106"/>
      <c r="J35" s="108"/>
    </row>
    <row r="36" spans="2:10" ht="6" customHeight="1" x14ac:dyDescent="0.25">
      <c r="C36" s="11"/>
      <c r="D36" s="11"/>
      <c r="E36" s="11"/>
      <c r="F36" s="11"/>
      <c r="G36" s="11"/>
      <c r="H36" s="18"/>
      <c r="I36" s="11"/>
      <c r="J36" s="11"/>
    </row>
    <row r="37" spans="2:10" s="12" customFormat="1" x14ac:dyDescent="0.25">
      <c r="C37" s="13" t="s">
        <v>37</v>
      </c>
      <c r="D37" s="13"/>
      <c r="E37" s="13"/>
      <c r="F37" s="13"/>
      <c r="G37" s="13"/>
      <c r="H37" s="19"/>
      <c r="I37" s="14">
        <f>ROUND(SUM(I10,I22,I30)-I34,0)</f>
        <v>0</v>
      </c>
    </row>
    <row r="38" spans="2:10" ht="8.1" customHeight="1" x14ac:dyDescent="0.25"/>
    <row r="39" spans="2:10" x14ac:dyDescent="0.25">
      <c r="H39" s="26"/>
    </row>
    <row r="40" spans="2:10" x14ac:dyDescent="0.25">
      <c r="H40" s="26"/>
    </row>
    <row r="41" spans="2:10" ht="8.1" customHeight="1" x14ac:dyDescent="0.25"/>
  </sheetData>
  <sortState xmlns:xlrd2="http://schemas.microsoft.com/office/spreadsheetml/2017/richdata2" ref="O13:R20">
    <sortCondition ref="R13:R20"/>
  </sortState>
  <mergeCells count="1">
    <mergeCell ref="J34:J35"/>
  </mergeCells>
  <conditionalFormatting sqref="J7:J34">
    <cfRule type="dataBar" priority="10">
      <dataBar showValue="0">
        <cfvo type="min"/>
        <cfvo type="max"/>
        <color theme="8"/>
      </dataBar>
      <extLst>
        <ext xmlns:x14="http://schemas.microsoft.com/office/spreadsheetml/2009/9/main" uri="{B025F937-C7B1-47D3-B67F-A62EFF666E3E}">
          <x14:id>{15CFED08-D60D-478D-AA58-890060659833}</x14:id>
        </ext>
      </extLst>
    </cfRule>
  </conditionalFormatting>
  <printOptions horizontalCentered="1"/>
  <pageMargins left="0.5" right="0.5" top="0.5" bottom="0.5" header="0.3" footer="0.3"/>
  <pageSetup scale="8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Check Box 1">
              <controlPr defaultSize="0" autoFill="0" autoLine="0" autoPict="0" macro="[0]!ToggleRateVolDetail">
                <anchor moveWithCells="1">
                  <from>
                    <xdr:col>9</xdr:col>
                    <xdr:colOff>3171825</xdr:colOff>
                    <xdr:row>0</xdr:row>
                    <xdr:rowOff>57150</xdr:rowOff>
                  </from>
                  <to>
                    <xdr:col>10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Button 2">
              <controlPr defaultSize="0" print="0" autoFill="0" autoPict="0" macro="[0]!NavigateHome">
                <anchor moveWithCells="1">
                  <from>
                    <xdr:col>2</xdr:col>
                    <xdr:colOff>38100</xdr:colOff>
                    <xdr:row>0</xdr:row>
                    <xdr:rowOff>57150</xdr:rowOff>
                  </from>
                  <to>
                    <xdr:col>2</xdr:col>
                    <xdr:colOff>942975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CFED08-D60D-478D-AA58-890060659833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m:sqref>J7:J34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32:AA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"Gap Between "&amp;TEXT(EOMONTH(BeginDate,12),"mmm yyy")&amp;" and "&amp;TEXT(EOMONTH(BeginDate,13),"mmm yyy")</f>
        <v>Gap Between Dec 2022 and Jan 2023</v>
      </c>
      <c r="J32" s="55">
        <f>VLOOKUP(DataID,DataRange,Data!S$2,FALSE)-VLOOKUP(DataID,DataRange,Data!Q$2,FALSE)</f>
        <v>0</v>
      </c>
      <c r="K32">
        <f>IFERROR(_xlfn.CONCAT("&lt;-- Gap Equal to ",TEXT((J32*RateVolData!I3)/AVERAGE(Data!$E$12:$Q$12),"0.00%")," ROA"),0)</f>
        <v>0</v>
      </c>
    </row>
    <row r="33" spans="2:14" x14ac:dyDescent="0.25">
      <c r="D33" t="s">
        <v>48</v>
      </c>
      <c r="I33" s="56">
        <f>VLOOKUP(DataID,DataRange,Data!$AK$2,FALSE)</f>
        <v>0</v>
      </c>
      <c r="J33" s="55">
        <f>VLOOKUP(DataID,DataRange,Data!$AJ$2,FALSE)</f>
        <v>0</v>
      </c>
    </row>
    <row r="34" spans="2:14" x14ac:dyDescent="0.25">
      <c r="D34" t="s">
        <v>47</v>
      </c>
      <c r="I34" s="56">
        <f>VLOOKUP(DataID,DataRange,Data!$AI$2,FALSE)</f>
        <v>0</v>
      </c>
      <c r="J34" s="55">
        <f>VLOOKUP(DataID,DataRange,Data!$AH$2,FALSE)</f>
        <v>0</v>
      </c>
      <c r="K34" t="str">
        <f>IFERROR(_xlfn.CONCAT("&lt;-- Produces ",TEXT(ROUND(ABS(VLOOKUP(DataID,RateVolData!$A:$K,11,FALSE))*1000,-3),"$#,##0")," Earnings ",IF(VLOOKUP(DataID,RateVolData!$A:$K,11,FALSE)&gt;=0,"Lift","Drag")),"")</f>
        <v>&lt;-- Produces $0 Earnings Lift</v>
      </c>
    </row>
    <row r="35" spans="2:14" x14ac:dyDescent="0.25">
      <c r="K35" s="56"/>
    </row>
    <row r="37" spans="2:14" x14ac:dyDescent="0.25">
      <c r="B37" s="10" t="s">
        <v>51</v>
      </c>
    </row>
    <row r="38" spans="2:14" x14ac:dyDescent="0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2:14" x14ac:dyDescent="0.25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</row>
    <row r="40" spans="2:14" x14ac:dyDescent="0.25"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</row>
    <row r="41" spans="2:14" x14ac:dyDescent="0.2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</row>
    <row r="72" spans="2:27" x14ac:dyDescent="0.25">
      <c r="B72" s="69" t="s">
        <v>109</v>
      </c>
      <c r="C72" s="42">
        <f>BeginDate</f>
        <v>44561</v>
      </c>
      <c r="D72" s="42">
        <f>EOMONTH(C72,1)</f>
        <v>44592</v>
      </c>
      <c r="E72" s="42">
        <f t="shared" ref="E72:AA72" si="0">EOMONTH(D72,1)</f>
        <v>44620</v>
      </c>
      <c r="F72" s="42">
        <f t="shared" si="0"/>
        <v>44651</v>
      </c>
      <c r="G72" s="42">
        <f t="shared" si="0"/>
        <v>44681</v>
      </c>
      <c r="H72" s="42">
        <f t="shared" si="0"/>
        <v>44712</v>
      </c>
      <c r="I72" s="42">
        <f t="shared" si="0"/>
        <v>44742</v>
      </c>
      <c r="J72" s="42">
        <f t="shared" si="0"/>
        <v>44773</v>
      </c>
      <c r="K72" s="42">
        <f t="shared" si="0"/>
        <v>44804</v>
      </c>
      <c r="L72" s="42">
        <f t="shared" si="0"/>
        <v>44834</v>
      </c>
      <c r="M72" s="42">
        <f t="shared" si="0"/>
        <v>44865</v>
      </c>
      <c r="N72" s="42">
        <f t="shared" si="0"/>
        <v>44895</v>
      </c>
      <c r="O72" s="42">
        <f t="shared" si="0"/>
        <v>44926</v>
      </c>
      <c r="P72" s="42">
        <f t="shared" si="0"/>
        <v>44957</v>
      </c>
      <c r="Q72" s="42">
        <f t="shared" si="0"/>
        <v>44985</v>
      </c>
      <c r="R72" s="42">
        <f t="shared" si="0"/>
        <v>45016</v>
      </c>
      <c r="S72" s="42">
        <f t="shared" si="0"/>
        <v>45046</v>
      </c>
      <c r="T72" s="42">
        <f t="shared" si="0"/>
        <v>45077</v>
      </c>
      <c r="U72" s="42">
        <f t="shared" si="0"/>
        <v>45107</v>
      </c>
      <c r="V72" s="42">
        <f t="shared" si="0"/>
        <v>45138</v>
      </c>
      <c r="W72" s="42">
        <f t="shared" si="0"/>
        <v>45169</v>
      </c>
      <c r="X72" s="42">
        <f t="shared" si="0"/>
        <v>45199</v>
      </c>
      <c r="Y72" s="42">
        <f t="shared" si="0"/>
        <v>45230</v>
      </c>
      <c r="Z72" s="42">
        <f t="shared" si="0"/>
        <v>45260</v>
      </c>
      <c r="AA72" s="42">
        <f t="shared" si="0"/>
        <v>45291</v>
      </c>
    </row>
    <row r="73" spans="2:27" x14ac:dyDescent="0.25">
      <c r="B73" s="27" t="s">
        <v>52</v>
      </c>
      <c r="C73" s="28">
        <f>IF(ShowEnd=FALSE,"",VLOOKUP(DataID,DataRange,Data!E$2,FALSE))</f>
        <v>0</v>
      </c>
      <c r="D73" s="28">
        <f>IF(ShowEnd=FALSE,"",VLOOKUP(DataID,DataRange,Data!F$2,FALSE))</f>
        <v>0</v>
      </c>
      <c r="E73" s="28">
        <f>IF(ShowEnd=FALSE,"",VLOOKUP(DataID,DataRange,Data!G$2,FALSE))</f>
        <v>0</v>
      </c>
      <c r="F73" s="28">
        <f>IF(ShowEnd=FALSE,"",VLOOKUP(DataID,DataRange,Data!H$2,FALSE))</f>
        <v>0</v>
      </c>
      <c r="G73" s="28">
        <f>IF(ShowEnd=FALSE,"",VLOOKUP(DataID,DataRange,Data!I$2,FALSE))</f>
        <v>0</v>
      </c>
      <c r="H73" s="28">
        <f>IF(ShowEnd=FALSE,"",VLOOKUP(DataID,DataRange,Data!J$2,FALSE))</f>
        <v>0</v>
      </c>
      <c r="I73" s="28">
        <f>IF(ShowEnd=FALSE,"",VLOOKUP(DataID,DataRange,Data!K$2,FALSE))</f>
        <v>0</v>
      </c>
      <c r="J73" s="28">
        <f>IF(ShowEnd=FALSE,"",VLOOKUP(DataID,DataRange,Data!L$2,FALSE))</f>
        <v>0</v>
      </c>
      <c r="K73" s="28">
        <f>IF(ShowEnd=FALSE,"",VLOOKUP(DataID,DataRange,Data!M$2,FALSE))</f>
        <v>0</v>
      </c>
      <c r="L73" s="28">
        <f>IF(ShowEnd=FALSE,"",VLOOKUP(DataID,DataRange,Data!N$2,FALSE))</f>
        <v>0</v>
      </c>
      <c r="M73" s="28">
        <f>IF(ShowEnd=FALSE,"",VLOOKUP(DataID,DataRange,Data!O$2,FALSE))</f>
        <v>0</v>
      </c>
      <c r="N73" s="28">
        <f>IF(ShowEnd=FALSE,"",VLOOKUP(DataID,DataRange,Data!P$2,FALSE))</f>
        <v>0</v>
      </c>
      <c r="O73" s="28">
        <f>IF(ShowEnd=FALSE,"",VLOOKUP(DataID,DataRange,Data!Q$2,FALSE))</f>
        <v>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2:27" x14ac:dyDescent="0.25">
      <c r="B74" s="27" t="s">
        <v>53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f>IF(ShowEnd=FALSE,"",VLOOKUP(DataID,DataRange,Data!S$2,FALSE))</f>
        <v>0</v>
      </c>
      <c r="Q74" s="28">
        <f>IF(ShowEnd=FALSE,"",VLOOKUP(DataID,DataRange,Data!T$2,FALSE))</f>
        <v>0</v>
      </c>
      <c r="R74" s="28">
        <f>IF(ShowEnd=FALSE,"",VLOOKUP(DataID,DataRange,Data!U$2,FALSE))</f>
        <v>0</v>
      </c>
      <c r="S74" s="28">
        <f>IF(ShowEnd=FALSE,"",VLOOKUP(DataID,DataRange,Data!V$2,FALSE))</f>
        <v>0</v>
      </c>
      <c r="T74" s="28">
        <f>IF(ShowEnd=FALSE,"",VLOOKUP(DataID,DataRange,Data!W$2,FALSE))</f>
        <v>0</v>
      </c>
      <c r="U74" s="28">
        <f>IF(ShowEnd=FALSE,"",VLOOKUP(DataID,DataRange,Data!X$2,FALSE))</f>
        <v>0</v>
      </c>
      <c r="V74" s="28">
        <f>IF(ShowEnd=FALSE,"",VLOOKUP(DataID,DataRange,Data!Y$2,FALSE))</f>
        <v>0</v>
      </c>
      <c r="W74" s="28">
        <f>IF(ShowEnd=FALSE,"",VLOOKUP(DataID,DataRange,Data!Z$2,FALSE))</f>
        <v>0</v>
      </c>
      <c r="X74" s="28">
        <f>IF(ShowEnd=FALSE,"",VLOOKUP(DataID,DataRange,Data!AA$2,FALSE))</f>
        <v>0</v>
      </c>
      <c r="Y74" s="28">
        <f>IF(ShowEnd=FALSE,"",VLOOKUP(DataID,DataRange,Data!AB$2,FALSE))</f>
        <v>0</v>
      </c>
      <c r="Z74" s="28">
        <f>IF(ShowEnd=FALSE,"",VLOOKUP(DataID,DataRange,Data!AC$2,FALSE))</f>
        <v>0</v>
      </c>
      <c r="AA74" s="28">
        <f>IF(ShowEnd=FALSE,"",VLOOKUP(DataID,DataRange,Data!AD$2,FALSE))</f>
        <v>0</v>
      </c>
    </row>
    <row r="75" spans="2:27" x14ac:dyDescent="0.25">
      <c r="B75" s="27" t="s">
        <v>54</v>
      </c>
      <c r="C75" s="28">
        <f>IF(ShowAvg=FALSE,"",VLOOKUP(DataID,DataRange,Data!AF$2,FALSE))</f>
        <v>0</v>
      </c>
      <c r="D75" s="28">
        <f>C75</f>
        <v>0</v>
      </c>
      <c r="E75" s="28">
        <f t="shared" ref="E75:O75" si="1">D75</f>
        <v>0</v>
      </c>
      <c r="F75" s="28">
        <f t="shared" si="1"/>
        <v>0</v>
      </c>
      <c r="G75" s="28">
        <f t="shared" si="1"/>
        <v>0</v>
      </c>
      <c r="H75" s="28">
        <f t="shared" si="1"/>
        <v>0</v>
      </c>
      <c r="I75" s="28">
        <f t="shared" si="1"/>
        <v>0</v>
      </c>
      <c r="J75" s="28">
        <f t="shared" si="1"/>
        <v>0</v>
      </c>
      <c r="K75" s="28">
        <f t="shared" si="1"/>
        <v>0</v>
      </c>
      <c r="L75" s="28">
        <f t="shared" si="1"/>
        <v>0</v>
      </c>
      <c r="M75" s="28">
        <f t="shared" si="1"/>
        <v>0</v>
      </c>
      <c r="N75" s="28">
        <f t="shared" si="1"/>
        <v>0</v>
      </c>
      <c r="O75" s="28">
        <f t="shared" si="1"/>
        <v>0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2:27" x14ac:dyDescent="0.25">
      <c r="B76" s="27" t="s">
        <v>55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>
        <f>IF(ShowAvg=FALSE,"",VLOOKUP(DataID,DataRange,Data!AG$2,FALSE))</f>
        <v>0</v>
      </c>
      <c r="Q76" s="28">
        <f>P76</f>
        <v>0</v>
      </c>
      <c r="R76" s="28">
        <f t="shared" ref="R76:AA76" si="2">Q76</f>
        <v>0</v>
      </c>
      <c r="S76" s="28">
        <f t="shared" si="2"/>
        <v>0</v>
      </c>
      <c r="T76" s="28">
        <f t="shared" si="2"/>
        <v>0</v>
      </c>
      <c r="U76" s="28">
        <f t="shared" si="2"/>
        <v>0</v>
      </c>
      <c r="V76" s="28">
        <f t="shared" si="2"/>
        <v>0</v>
      </c>
      <c r="W76" s="28">
        <f t="shared" si="2"/>
        <v>0</v>
      </c>
      <c r="X76" s="28">
        <f t="shared" si="2"/>
        <v>0</v>
      </c>
      <c r="Y76" s="28">
        <f t="shared" si="2"/>
        <v>0</v>
      </c>
      <c r="Z76" s="28">
        <f t="shared" si="2"/>
        <v>0</v>
      </c>
      <c r="AA76" s="28">
        <f t="shared" si="2"/>
        <v>0</v>
      </c>
    </row>
    <row r="78" spans="2:27" x14ac:dyDescent="0.25">
      <c r="B78" t="str">
        <f>VLOOKUP(DataID,DataRange,Data!$C$2,FALSE)</f>
        <v>Gross Loans</v>
      </c>
    </row>
    <row r="79" spans="2:27" x14ac:dyDescent="0.25">
      <c r="B79" t="s">
        <v>89</v>
      </c>
    </row>
    <row r="80" spans="2:27" x14ac:dyDescent="0.25">
      <c r="B80" t="s">
        <v>86</v>
      </c>
    </row>
    <row r="81" spans="2:6" x14ac:dyDescent="0.25">
      <c r="B81" t="str">
        <f>IF(ShowAvg=FALSE,_xlfn.CONCAT(B78,B79),_xlfn.CONCAT(B78,B79,B80))</f>
        <v>Gross Loans (Millions); Shaded Area = Annual Avg Bal</v>
      </c>
    </row>
    <row r="83" spans="2:6" x14ac:dyDescent="0.25">
      <c r="B83" s="67" t="b">
        <v>1</v>
      </c>
      <c r="C83" t="s">
        <v>87</v>
      </c>
    </row>
    <row r="84" spans="2:6" x14ac:dyDescent="0.25">
      <c r="B84" s="67" t="b">
        <v>1</v>
      </c>
      <c r="C84" t="s">
        <v>88</v>
      </c>
    </row>
    <row r="86" spans="2:6" x14ac:dyDescent="0.25">
      <c r="B86" s="57">
        <f>MIN(C73:AA76)</f>
        <v>0</v>
      </c>
      <c r="C86" s="68">
        <v>0.9</v>
      </c>
      <c r="D86" s="69">
        <v>4</v>
      </c>
      <c r="E86" s="57">
        <f>ROUNDDOWN(B86*C86,-D86)</f>
        <v>0</v>
      </c>
      <c r="F86" t="s">
        <v>90</v>
      </c>
    </row>
    <row r="87" spans="2:6" x14ac:dyDescent="0.25">
      <c r="B87" s="57">
        <f>MAX(C73:AA76)</f>
        <v>0</v>
      </c>
      <c r="C87" s="68">
        <v>1.1000000000000001</v>
      </c>
      <c r="D87" s="69">
        <v>4</v>
      </c>
      <c r="E87" s="57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6485-1966-4E98-9FDE-399671B7B6BA}">
  <sheetPr codeName="Sheet12">
    <pageSetUpPr fitToPage="1"/>
  </sheetPr>
  <dimension ref="B32:AA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"Gap Between "&amp;TEXT(EOMONTH(BeginDate,12),"mmm yyy")&amp;" and "&amp;TEXT(EOMONTH(BeginDate,13),"mmm yyy")</f>
        <v>Gap Between Dec 2022 and Jan 2023</v>
      </c>
      <c r="J32" s="55">
        <f>VLOOKUP(DataID,DataRange,Data!S$2,FALSE)-VLOOKUP(DataID,DataRange,Data!Q$2,FALSE)</f>
        <v>0</v>
      </c>
      <c r="K32">
        <f>IFERROR(_xlfn.CONCAT("&lt;-- Gap Equal to ",TEXT((J32*RateVolData!I8)/AVERAGE(Data!$E$12:$Q$12),"0.00%")," ROA"),0)</f>
        <v>0</v>
      </c>
    </row>
    <row r="33" spans="2:14" x14ac:dyDescent="0.25">
      <c r="D33" t="s">
        <v>48</v>
      </c>
      <c r="I33" s="56">
        <f>VLOOKUP(DataID,DataRange,Data!$AK$2,FALSE)</f>
        <v>0</v>
      </c>
      <c r="J33" s="55">
        <f>VLOOKUP(DataID,DataRange,Data!$AJ$2,FALSE)</f>
        <v>0</v>
      </c>
    </row>
    <row r="34" spans="2:14" x14ac:dyDescent="0.25">
      <c r="D34" t="s">
        <v>47</v>
      </c>
      <c r="I34" s="56">
        <f>VLOOKUP(DataID,DataRange,Data!$AI$2,FALSE)</f>
        <v>0</v>
      </c>
      <c r="J34" s="55">
        <f>VLOOKUP(DataID,DataRange,Data!$AH$2,FALSE)</f>
        <v>0</v>
      </c>
      <c r="K34" t="str">
        <f>IFERROR(_xlfn.CONCAT("&lt;-- Produces ",TEXT(ROUND(ABS(VLOOKUP(DataID,RateVolData!$A:$K,11,FALSE))*1000,-3),"$#,##0")," Earnings ",IF(VLOOKUP(DataID,RateVolData!$A:$K,11,FALSE)&gt;=0,"Lift","Drag")),"")</f>
        <v>&lt;-- Produces $0 Earnings Lift</v>
      </c>
    </row>
    <row r="35" spans="2:14" x14ac:dyDescent="0.25">
      <c r="K35" s="56"/>
    </row>
    <row r="37" spans="2:14" x14ac:dyDescent="0.25">
      <c r="B37" s="10" t="s">
        <v>51</v>
      </c>
    </row>
    <row r="38" spans="2:14" x14ac:dyDescent="0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2:14" x14ac:dyDescent="0.25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</row>
    <row r="40" spans="2:14" x14ac:dyDescent="0.25"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</row>
    <row r="41" spans="2:14" x14ac:dyDescent="0.2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</row>
    <row r="72" spans="2:27" x14ac:dyDescent="0.25">
      <c r="B72" s="69" t="s">
        <v>114</v>
      </c>
      <c r="C72" s="42">
        <f>BeginDate</f>
        <v>44561</v>
      </c>
      <c r="D72" s="42">
        <f>EOMONTH(C72,1)</f>
        <v>44592</v>
      </c>
      <c r="E72" s="42">
        <f t="shared" ref="E72:AA72" si="0">EOMONTH(D72,1)</f>
        <v>44620</v>
      </c>
      <c r="F72" s="42">
        <f t="shared" si="0"/>
        <v>44651</v>
      </c>
      <c r="G72" s="42">
        <f t="shared" si="0"/>
        <v>44681</v>
      </c>
      <c r="H72" s="42">
        <f t="shared" si="0"/>
        <v>44712</v>
      </c>
      <c r="I72" s="42">
        <f t="shared" si="0"/>
        <v>44742</v>
      </c>
      <c r="J72" s="42">
        <f t="shared" si="0"/>
        <v>44773</v>
      </c>
      <c r="K72" s="42">
        <f t="shared" si="0"/>
        <v>44804</v>
      </c>
      <c r="L72" s="42">
        <f t="shared" si="0"/>
        <v>44834</v>
      </c>
      <c r="M72" s="42">
        <f t="shared" si="0"/>
        <v>44865</v>
      </c>
      <c r="N72" s="42">
        <f t="shared" si="0"/>
        <v>44895</v>
      </c>
      <c r="O72" s="42">
        <f t="shared" si="0"/>
        <v>44926</v>
      </c>
      <c r="P72" s="42">
        <f t="shared" si="0"/>
        <v>44957</v>
      </c>
      <c r="Q72" s="42">
        <f t="shared" si="0"/>
        <v>44985</v>
      </c>
      <c r="R72" s="42">
        <f t="shared" si="0"/>
        <v>45016</v>
      </c>
      <c r="S72" s="42">
        <f t="shared" si="0"/>
        <v>45046</v>
      </c>
      <c r="T72" s="42">
        <f t="shared" si="0"/>
        <v>45077</v>
      </c>
      <c r="U72" s="42">
        <f t="shared" si="0"/>
        <v>45107</v>
      </c>
      <c r="V72" s="42">
        <f t="shared" si="0"/>
        <v>45138</v>
      </c>
      <c r="W72" s="42">
        <f t="shared" si="0"/>
        <v>45169</v>
      </c>
      <c r="X72" s="42">
        <f t="shared" si="0"/>
        <v>45199</v>
      </c>
      <c r="Y72" s="42">
        <f t="shared" si="0"/>
        <v>45230</v>
      </c>
      <c r="Z72" s="42">
        <f t="shared" si="0"/>
        <v>45260</v>
      </c>
      <c r="AA72" s="42">
        <f t="shared" si="0"/>
        <v>45291</v>
      </c>
    </row>
    <row r="73" spans="2:27" x14ac:dyDescent="0.25">
      <c r="B73" s="27" t="s">
        <v>52</v>
      </c>
      <c r="C73" s="28">
        <f>IF(ShowEnd=FALSE,"",VLOOKUP(DataID,DataRange,Data!E$2,FALSE))</f>
        <v>0</v>
      </c>
      <c r="D73" s="28">
        <f>IF(ShowEnd=FALSE,"",VLOOKUP(DataID,DataRange,Data!F$2,FALSE))</f>
        <v>0</v>
      </c>
      <c r="E73" s="28">
        <f>IF(ShowEnd=FALSE,"",VLOOKUP(DataID,DataRange,Data!G$2,FALSE))</f>
        <v>0</v>
      </c>
      <c r="F73" s="28">
        <f>IF(ShowEnd=FALSE,"",VLOOKUP(DataID,DataRange,Data!H$2,FALSE))</f>
        <v>0</v>
      </c>
      <c r="G73" s="28">
        <f>IF(ShowEnd=FALSE,"",VLOOKUP(DataID,DataRange,Data!I$2,FALSE))</f>
        <v>0</v>
      </c>
      <c r="H73" s="28">
        <f>IF(ShowEnd=FALSE,"",VLOOKUP(DataID,DataRange,Data!J$2,FALSE))</f>
        <v>0</v>
      </c>
      <c r="I73" s="28">
        <f>IF(ShowEnd=FALSE,"",VLOOKUP(DataID,DataRange,Data!K$2,FALSE))</f>
        <v>0</v>
      </c>
      <c r="J73" s="28">
        <f>IF(ShowEnd=FALSE,"",VLOOKUP(DataID,DataRange,Data!L$2,FALSE))</f>
        <v>0</v>
      </c>
      <c r="K73" s="28">
        <f>IF(ShowEnd=FALSE,"",VLOOKUP(DataID,DataRange,Data!M$2,FALSE))</f>
        <v>0</v>
      </c>
      <c r="L73" s="28">
        <f>IF(ShowEnd=FALSE,"",VLOOKUP(DataID,DataRange,Data!N$2,FALSE))</f>
        <v>0</v>
      </c>
      <c r="M73" s="28">
        <f>IF(ShowEnd=FALSE,"",VLOOKUP(DataID,DataRange,Data!O$2,FALSE))</f>
        <v>0</v>
      </c>
      <c r="N73" s="28">
        <f>IF(ShowEnd=FALSE,"",VLOOKUP(DataID,DataRange,Data!P$2,FALSE))</f>
        <v>0</v>
      </c>
      <c r="O73" s="28">
        <f>IF(ShowEnd=FALSE,"",VLOOKUP(DataID,DataRange,Data!Q$2,FALSE))</f>
        <v>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2:27" x14ac:dyDescent="0.25">
      <c r="B74" s="27" t="s">
        <v>53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f>IF(ShowEnd=FALSE,"",VLOOKUP(DataID,DataRange,Data!S$2,FALSE))</f>
        <v>0</v>
      </c>
      <c r="Q74" s="28">
        <f>IF(ShowEnd=FALSE,"",VLOOKUP(DataID,DataRange,Data!T$2,FALSE))</f>
        <v>0</v>
      </c>
      <c r="R74" s="28">
        <f>IF(ShowEnd=FALSE,"",VLOOKUP(DataID,DataRange,Data!U$2,FALSE))</f>
        <v>0</v>
      </c>
      <c r="S74" s="28">
        <f>IF(ShowEnd=FALSE,"",VLOOKUP(DataID,DataRange,Data!V$2,FALSE))</f>
        <v>0</v>
      </c>
      <c r="T74" s="28">
        <f>IF(ShowEnd=FALSE,"",VLOOKUP(DataID,DataRange,Data!W$2,FALSE))</f>
        <v>0</v>
      </c>
      <c r="U74" s="28">
        <f>IF(ShowEnd=FALSE,"",VLOOKUP(DataID,DataRange,Data!X$2,FALSE))</f>
        <v>0</v>
      </c>
      <c r="V74" s="28">
        <f>IF(ShowEnd=FALSE,"",VLOOKUP(DataID,DataRange,Data!Y$2,FALSE))</f>
        <v>0</v>
      </c>
      <c r="W74" s="28">
        <f>IF(ShowEnd=FALSE,"",VLOOKUP(DataID,DataRange,Data!Z$2,FALSE))</f>
        <v>0</v>
      </c>
      <c r="X74" s="28">
        <f>IF(ShowEnd=FALSE,"",VLOOKUP(DataID,DataRange,Data!AA$2,FALSE))</f>
        <v>0</v>
      </c>
      <c r="Y74" s="28">
        <f>IF(ShowEnd=FALSE,"",VLOOKUP(DataID,DataRange,Data!AB$2,FALSE))</f>
        <v>0</v>
      </c>
      <c r="Z74" s="28">
        <f>IF(ShowEnd=FALSE,"",VLOOKUP(DataID,DataRange,Data!AC$2,FALSE))</f>
        <v>0</v>
      </c>
      <c r="AA74" s="28">
        <f>IF(ShowEnd=FALSE,"",VLOOKUP(DataID,DataRange,Data!AD$2,FALSE))</f>
        <v>0</v>
      </c>
    </row>
    <row r="75" spans="2:27" x14ac:dyDescent="0.25">
      <c r="B75" s="27" t="s">
        <v>54</v>
      </c>
      <c r="C75" s="28">
        <f>IF(ShowAvg=FALSE,"",VLOOKUP(DataID,DataRange,Data!AF$2,FALSE))</f>
        <v>0</v>
      </c>
      <c r="D75" s="28">
        <f>C75</f>
        <v>0</v>
      </c>
      <c r="E75" s="28">
        <f t="shared" ref="E75:O75" si="1">D75</f>
        <v>0</v>
      </c>
      <c r="F75" s="28">
        <f t="shared" si="1"/>
        <v>0</v>
      </c>
      <c r="G75" s="28">
        <f t="shared" si="1"/>
        <v>0</v>
      </c>
      <c r="H75" s="28">
        <f t="shared" si="1"/>
        <v>0</v>
      </c>
      <c r="I75" s="28">
        <f t="shared" si="1"/>
        <v>0</v>
      </c>
      <c r="J75" s="28">
        <f t="shared" si="1"/>
        <v>0</v>
      </c>
      <c r="K75" s="28">
        <f t="shared" si="1"/>
        <v>0</v>
      </c>
      <c r="L75" s="28">
        <f t="shared" si="1"/>
        <v>0</v>
      </c>
      <c r="M75" s="28">
        <f t="shared" si="1"/>
        <v>0</v>
      </c>
      <c r="N75" s="28">
        <f t="shared" si="1"/>
        <v>0</v>
      </c>
      <c r="O75" s="28">
        <f t="shared" si="1"/>
        <v>0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2:27" x14ac:dyDescent="0.25">
      <c r="B76" s="27" t="s">
        <v>55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>
        <f>IF(ShowAvg=FALSE,"",VLOOKUP(DataID,DataRange,Data!AG$2,FALSE))</f>
        <v>0</v>
      </c>
      <c r="Q76" s="28">
        <f>P76</f>
        <v>0</v>
      </c>
      <c r="R76" s="28">
        <f t="shared" ref="R76:AA76" si="2">Q76</f>
        <v>0</v>
      </c>
      <c r="S76" s="28">
        <f t="shared" si="2"/>
        <v>0</v>
      </c>
      <c r="T76" s="28">
        <f t="shared" si="2"/>
        <v>0</v>
      </c>
      <c r="U76" s="28">
        <f t="shared" si="2"/>
        <v>0</v>
      </c>
      <c r="V76" s="28">
        <f t="shared" si="2"/>
        <v>0</v>
      </c>
      <c r="W76" s="28">
        <f t="shared" si="2"/>
        <v>0</v>
      </c>
      <c r="X76" s="28">
        <f t="shared" si="2"/>
        <v>0</v>
      </c>
      <c r="Y76" s="28">
        <f t="shared" si="2"/>
        <v>0</v>
      </c>
      <c r="Z76" s="28">
        <f t="shared" si="2"/>
        <v>0</v>
      </c>
      <c r="AA76" s="28">
        <f t="shared" si="2"/>
        <v>0</v>
      </c>
    </row>
    <row r="78" spans="2:27" x14ac:dyDescent="0.25">
      <c r="B78" t="str">
        <f>VLOOKUP(DataID,DataRange,Data!$C$2,FALSE)</f>
        <v>Relationship Deposits</v>
      </c>
    </row>
    <row r="79" spans="2:27" x14ac:dyDescent="0.25">
      <c r="B79" t="s">
        <v>89</v>
      </c>
    </row>
    <row r="80" spans="2:27" x14ac:dyDescent="0.25">
      <c r="B80" t="s">
        <v>86</v>
      </c>
    </row>
    <row r="81" spans="2:6" x14ac:dyDescent="0.25">
      <c r="B81" t="str">
        <f>IF(ShowAvg=FALSE,_xlfn.CONCAT(B78,B79),_xlfn.CONCAT(B78,B79,B80))</f>
        <v>Relationship Deposits (Millions); Shaded Area = Annual Avg Bal</v>
      </c>
    </row>
    <row r="83" spans="2:6" x14ac:dyDescent="0.25">
      <c r="B83" s="67" t="b">
        <v>1</v>
      </c>
      <c r="C83" t="s">
        <v>87</v>
      </c>
    </row>
    <row r="84" spans="2:6" x14ac:dyDescent="0.25">
      <c r="B84" s="67" t="b">
        <v>1</v>
      </c>
      <c r="C84" t="s">
        <v>88</v>
      </c>
    </row>
    <row r="86" spans="2:6" x14ac:dyDescent="0.25">
      <c r="B86" s="57">
        <f>MIN(C73:AA76)</f>
        <v>0</v>
      </c>
      <c r="C86" s="68">
        <v>0.9</v>
      </c>
      <c r="D86" s="69">
        <v>4</v>
      </c>
      <c r="E86" s="57">
        <f>ROUNDDOWN(B86*C86,-D86)</f>
        <v>0</v>
      </c>
      <c r="F86" t="s">
        <v>90</v>
      </c>
    </row>
    <row r="87" spans="2:6" x14ac:dyDescent="0.25">
      <c r="B87" s="57">
        <f>MAX(C73:AA76)</f>
        <v>0</v>
      </c>
      <c r="C87" s="68">
        <v>1.1000000000000001</v>
      </c>
      <c r="D87" s="69">
        <v>4</v>
      </c>
      <c r="E87" s="57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167E-64E0-4F1F-B5AA-D42798E414BB}">
  <sheetPr codeName="Sheet25">
    <pageSetUpPr fitToPage="1"/>
  </sheetPr>
  <dimension ref="B32:AA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1" x14ac:dyDescent="0.25">
      <c r="D32" t="str">
        <f>"Gap Between "&amp;TEXT(EOMONTH(BeginDate,12),"mmm yyy")&amp;" and "&amp;TEXT(EOMONTH(BeginDate,13),"mmm yyy")</f>
        <v>Gap Between Dec 2022 and Jan 2023</v>
      </c>
      <c r="J32" s="55">
        <f>VLOOKUP(DataID,DataRange,Data!S$2,FALSE)-VLOOKUP(DataID,DataRange,Data!Q$2,FALSE)</f>
        <v>0</v>
      </c>
      <c r="K32">
        <f>IFERROR(_xlfn.CONCAT("&lt;-- Gap Equal to ",TEXT((J32*RateVolData!I9)/AVERAGE(Data!$E$12:$Q$12),"0.00%")," ROA"),0)</f>
        <v>0</v>
      </c>
    </row>
    <row r="33" spans="2:14" x14ac:dyDescent="0.25">
      <c r="D33" t="s">
        <v>48</v>
      </c>
      <c r="I33" s="56">
        <f>VLOOKUP(DataID,DataRange,Data!$AK$2,FALSE)</f>
        <v>0</v>
      </c>
      <c r="J33" s="55">
        <f>VLOOKUP(DataID,DataRange,Data!$AJ$2,FALSE)</f>
        <v>0</v>
      </c>
    </row>
    <row r="34" spans="2:14" x14ac:dyDescent="0.25">
      <c r="D34" t="s">
        <v>47</v>
      </c>
      <c r="I34" s="56">
        <f>VLOOKUP(DataID,DataRange,Data!$AI$2,FALSE)</f>
        <v>0</v>
      </c>
      <c r="J34" s="55">
        <f>VLOOKUP(DataID,DataRange,Data!$AH$2,FALSE)</f>
        <v>0</v>
      </c>
      <c r="K34" t="str">
        <f>IFERROR(_xlfn.CONCAT("&lt;-- Produces ",TEXT(ROUND(ABS(VLOOKUP(DataID,RateVolData!$A:$K,11,FALSE))*1000,-3),"$#,##0")," Earnings ",IF(VLOOKUP(DataID,RateVolData!$A:$K,11,FALSE)&gt;=0,"Lift","Drag")),"")</f>
        <v>&lt;-- Produces $0 Earnings Lift</v>
      </c>
    </row>
    <row r="35" spans="2:14" x14ac:dyDescent="0.25">
      <c r="K35" s="56"/>
    </row>
    <row r="37" spans="2:14" x14ac:dyDescent="0.25">
      <c r="B37" s="10" t="s">
        <v>51</v>
      </c>
    </row>
    <row r="38" spans="2:14" x14ac:dyDescent="0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2:14" x14ac:dyDescent="0.25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</row>
    <row r="40" spans="2:14" x14ac:dyDescent="0.25"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</row>
    <row r="41" spans="2:14" x14ac:dyDescent="0.2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</row>
    <row r="72" spans="2:27" x14ac:dyDescent="0.25">
      <c r="B72" s="69" t="s">
        <v>115</v>
      </c>
      <c r="C72" s="42">
        <f>BeginDate</f>
        <v>44561</v>
      </c>
      <c r="D72" s="42">
        <f>EOMONTH(C72,1)</f>
        <v>44592</v>
      </c>
      <c r="E72" s="42">
        <f t="shared" ref="E72:AA72" si="0">EOMONTH(D72,1)</f>
        <v>44620</v>
      </c>
      <c r="F72" s="42">
        <f t="shared" si="0"/>
        <v>44651</v>
      </c>
      <c r="G72" s="42">
        <f t="shared" si="0"/>
        <v>44681</v>
      </c>
      <c r="H72" s="42">
        <f t="shared" si="0"/>
        <v>44712</v>
      </c>
      <c r="I72" s="42">
        <f t="shared" si="0"/>
        <v>44742</v>
      </c>
      <c r="J72" s="42">
        <f t="shared" si="0"/>
        <v>44773</v>
      </c>
      <c r="K72" s="42">
        <f t="shared" si="0"/>
        <v>44804</v>
      </c>
      <c r="L72" s="42">
        <f t="shared" si="0"/>
        <v>44834</v>
      </c>
      <c r="M72" s="42">
        <f t="shared" si="0"/>
        <v>44865</v>
      </c>
      <c r="N72" s="42">
        <f t="shared" si="0"/>
        <v>44895</v>
      </c>
      <c r="O72" s="42">
        <f t="shared" si="0"/>
        <v>44926</v>
      </c>
      <c r="P72" s="42">
        <f t="shared" si="0"/>
        <v>44957</v>
      </c>
      <c r="Q72" s="42">
        <f t="shared" si="0"/>
        <v>44985</v>
      </c>
      <c r="R72" s="42">
        <f t="shared" si="0"/>
        <v>45016</v>
      </c>
      <c r="S72" s="42">
        <f t="shared" si="0"/>
        <v>45046</v>
      </c>
      <c r="T72" s="42">
        <f t="shared" si="0"/>
        <v>45077</v>
      </c>
      <c r="U72" s="42">
        <f t="shared" si="0"/>
        <v>45107</v>
      </c>
      <c r="V72" s="42">
        <f t="shared" si="0"/>
        <v>45138</v>
      </c>
      <c r="W72" s="42">
        <f t="shared" si="0"/>
        <v>45169</v>
      </c>
      <c r="X72" s="42">
        <f t="shared" si="0"/>
        <v>45199</v>
      </c>
      <c r="Y72" s="42">
        <f t="shared" si="0"/>
        <v>45230</v>
      </c>
      <c r="Z72" s="42">
        <f t="shared" si="0"/>
        <v>45260</v>
      </c>
      <c r="AA72" s="42">
        <f t="shared" si="0"/>
        <v>45291</v>
      </c>
    </row>
    <row r="73" spans="2:27" x14ac:dyDescent="0.25">
      <c r="B73" s="27" t="s">
        <v>52</v>
      </c>
      <c r="C73" s="28">
        <f>IF(ShowEnd=FALSE,"",VLOOKUP(DataID,DataRange,Data!E$2,FALSE))</f>
        <v>0</v>
      </c>
      <c r="D73" s="28">
        <f>IF(ShowEnd=FALSE,"",VLOOKUP(DataID,DataRange,Data!F$2,FALSE))</f>
        <v>0</v>
      </c>
      <c r="E73" s="28">
        <f>IF(ShowEnd=FALSE,"",VLOOKUP(DataID,DataRange,Data!G$2,FALSE))</f>
        <v>0</v>
      </c>
      <c r="F73" s="28">
        <f>IF(ShowEnd=FALSE,"",VLOOKUP(DataID,DataRange,Data!H$2,FALSE))</f>
        <v>0</v>
      </c>
      <c r="G73" s="28">
        <f>IF(ShowEnd=FALSE,"",VLOOKUP(DataID,DataRange,Data!I$2,FALSE))</f>
        <v>0</v>
      </c>
      <c r="H73" s="28">
        <f>IF(ShowEnd=FALSE,"",VLOOKUP(DataID,DataRange,Data!J$2,FALSE))</f>
        <v>0</v>
      </c>
      <c r="I73" s="28">
        <f>IF(ShowEnd=FALSE,"",VLOOKUP(DataID,DataRange,Data!K$2,FALSE))</f>
        <v>0</v>
      </c>
      <c r="J73" s="28">
        <f>IF(ShowEnd=FALSE,"",VLOOKUP(DataID,DataRange,Data!L$2,FALSE))</f>
        <v>0</v>
      </c>
      <c r="K73" s="28">
        <f>IF(ShowEnd=FALSE,"",VLOOKUP(DataID,DataRange,Data!M$2,FALSE))</f>
        <v>0</v>
      </c>
      <c r="L73" s="28">
        <f>IF(ShowEnd=FALSE,"",VLOOKUP(DataID,DataRange,Data!N$2,FALSE))</f>
        <v>0</v>
      </c>
      <c r="M73" s="28">
        <f>IF(ShowEnd=FALSE,"",VLOOKUP(DataID,DataRange,Data!O$2,FALSE))</f>
        <v>0</v>
      </c>
      <c r="N73" s="28">
        <f>IF(ShowEnd=FALSE,"",VLOOKUP(DataID,DataRange,Data!P$2,FALSE))</f>
        <v>0</v>
      </c>
      <c r="O73" s="28">
        <f>IF(ShowEnd=FALSE,"",VLOOKUP(DataID,DataRange,Data!Q$2,FALSE))</f>
        <v>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2:27" x14ac:dyDescent="0.25">
      <c r="B74" s="27" t="s">
        <v>53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f>IF(ShowEnd=FALSE,"",VLOOKUP(DataID,DataRange,Data!S$2,FALSE))</f>
        <v>0</v>
      </c>
      <c r="Q74" s="28">
        <f>IF(ShowEnd=FALSE,"",VLOOKUP(DataID,DataRange,Data!T$2,FALSE))</f>
        <v>0</v>
      </c>
      <c r="R74" s="28">
        <f>IF(ShowEnd=FALSE,"",VLOOKUP(DataID,DataRange,Data!U$2,FALSE))</f>
        <v>0</v>
      </c>
      <c r="S74" s="28">
        <f>IF(ShowEnd=FALSE,"",VLOOKUP(DataID,DataRange,Data!V$2,FALSE))</f>
        <v>0</v>
      </c>
      <c r="T74" s="28">
        <f>IF(ShowEnd=FALSE,"",VLOOKUP(DataID,DataRange,Data!W$2,FALSE))</f>
        <v>0</v>
      </c>
      <c r="U74" s="28">
        <f>IF(ShowEnd=FALSE,"",VLOOKUP(DataID,DataRange,Data!X$2,FALSE))</f>
        <v>0</v>
      </c>
      <c r="V74" s="28">
        <f>IF(ShowEnd=FALSE,"",VLOOKUP(DataID,DataRange,Data!Y$2,FALSE))</f>
        <v>0</v>
      </c>
      <c r="W74" s="28">
        <f>IF(ShowEnd=FALSE,"",VLOOKUP(DataID,DataRange,Data!Z$2,FALSE))</f>
        <v>0</v>
      </c>
      <c r="X74" s="28">
        <f>IF(ShowEnd=FALSE,"",VLOOKUP(DataID,DataRange,Data!AA$2,FALSE))</f>
        <v>0</v>
      </c>
      <c r="Y74" s="28">
        <f>IF(ShowEnd=FALSE,"",VLOOKUP(DataID,DataRange,Data!AB$2,FALSE))</f>
        <v>0</v>
      </c>
      <c r="Z74" s="28">
        <f>IF(ShowEnd=FALSE,"",VLOOKUP(DataID,DataRange,Data!AC$2,FALSE))</f>
        <v>0</v>
      </c>
      <c r="AA74" s="28">
        <f>IF(ShowEnd=FALSE,"",VLOOKUP(DataID,DataRange,Data!AD$2,FALSE))</f>
        <v>0</v>
      </c>
    </row>
    <row r="75" spans="2:27" x14ac:dyDescent="0.25">
      <c r="B75" s="27" t="s">
        <v>54</v>
      </c>
      <c r="C75" s="28">
        <f>IF(ShowAvg=FALSE,"",VLOOKUP(DataID,DataRange,Data!AF$2,FALSE))</f>
        <v>0</v>
      </c>
      <c r="D75" s="28">
        <f>C75</f>
        <v>0</v>
      </c>
      <c r="E75" s="28">
        <f t="shared" ref="E75:O75" si="1">D75</f>
        <v>0</v>
      </c>
      <c r="F75" s="28">
        <f t="shared" si="1"/>
        <v>0</v>
      </c>
      <c r="G75" s="28">
        <f t="shared" si="1"/>
        <v>0</v>
      </c>
      <c r="H75" s="28">
        <f t="shared" si="1"/>
        <v>0</v>
      </c>
      <c r="I75" s="28">
        <f t="shared" si="1"/>
        <v>0</v>
      </c>
      <c r="J75" s="28">
        <f t="shared" si="1"/>
        <v>0</v>
      </c>
      <c r="K75" s="28">
        <f t="shared" si="1"/>
        <v>0</v>
      </c>
      <c r="L75" s="28">
        <f t="shared" si="1"/>
        <v>0</v>
      </c>
      <c r="M75" s="28">
        <f t="shared" si="1"/>
        <v>0</v>
      </c>
      <c r="N75" s="28">
        <f t="shared" si="1"/>
        <v>0</v>
      </c>
      <c r="O75" s="28">
        <f t="shared" si="1"/>
        <v>0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2:27" x14ac:dyDescent="0.25">
      <c r="B76" s="27" t="s">
        <v>55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>
        <f>IF(ShowAvg=FALSE,"",VLOOKUP(DataID,DataRange,Data!AG$2,FALSE))</f>
        <v>0</v>
      </c>
      <c r="Q76" s="28">
        <f>P76</f>
        <v>0</v>
      </c>
      <c r="R76" s="28">
        <f t="shared" ref="R76:AA76" si="2">Q76</f>
        <v>0</v>
      </c>
      <c r="S76" s="28">
        <f t="shared" si="2"/>
        <v>0</v>
      </c>
      <c r="T76" s="28">
        <f t="shared" si="2"/>
        <v>0</v>
      </c>
      <c r="U76" s="28">
        <f t="shared" si="2"/>
        <v>0</v>
      </c>
      <c r="V76" s="28">
        <f t="shared" si="2"/>
        <v>0</v>
      </c>
      <c r="W76" s="28">
        <f t="shared" si="2"/>
        <v>0</v>
      </c>
      <c r="X76" s="28">
        <f t="shared" si="2"/>
        <v>0</v>
      </c>
      <c r="Y76" s="28">
        <f t="shared" si="2"/>
        <v>0</v>
      </c>
      <c r="Z76" s="28">
        <f t="shared" si="2"/>
        <v>0</v>
      </c>
      <c r="AA76" s="28">
        <f t="shared" si="2"/>
        <v>0</v>
      </c>
    </row>
    <row r="78" spans="2:27" x14ac:dyDescent="0.25">
      <c r="B78" t="str">
        <f>VLOOKUP(DataID,DataRange,Data!$C$2,FALSE)</f>
        <v>Rate Sensitive Funds</v>
      </c>
    </row>
    <row r="79" spans="2:27" x14ac:dyDescent="0.25">
      <c r="B79" t="s">
        <v>89</v>
      </c>
    </row>
    <row r="80" spans="2:27" x14ac:dyDescent="0.25">
      <c r="B80" t="s">
        <v>86</v>
      </c>
    </row>
    <row r="81" spans="2:6" x14ac:dyDescent="0.25">
      <c r="B81" t="str">
        <f>IF(ShowAvg=FALSE,_xlfn.CONCAT(B78,B79),_xlfn.CONCAT(B78,B79,B80))</f>
        <v>Rate Sensitive Funds (Millions); Shaded Area = Annual Avg Bal</v>
      </c>
    </row>
    <row r="83" spans="2:6" x14ac:dyDescent="0.25">
      <c r="B83" s="67" t="b">
        <v>1</v>
      </c>
      <c r="C83" t="s">
        <v>87</v>
      </c>
    </row>
    <row r="84" spans="2:6" x14ac:dyDescent="0.25">
      <c r="B84" s="67" t="b">
        <v>1</v>
      </c>
      <c r="C84" t="s">
        <v>88</v>
      </c>
    </row>
    <row r="86" spans="2:6" x14ac:dyDescent="0.25">
      <c r="B86" s="57">
        <f>MIN(C73:AA76)</f>
        <v>0</v>
      </c>
      <c r="C86" s="68">
        <v>0.9</v>
      </c>
      <c r="D86" s="69">
        <v>4</v>
      </c>
      <c r="E86" s="57">
        <f>ROUNDDOWN(B86*C86,-D86)</f>
        <v>0</v>
      </c>
      <c r="F86" t="s">
        <v>90</v>
      </c>
    </row>
    <row r="87" spans="2:6" x14ac:dyDescent="0.25">
      <c r="B87" s="57">
        <f>MAX(C73:AA76)</f>
        <v>0</v>
      </c>
      <c r="C87" s="68">
        <v>1.1000000000000001</v>
      </c>
      <c r="D87" s="69">
        <v>4</v>
      </c>
      <c r="E87" s="57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4F2B-9881-4BDE-89E6-4F741FDB4B6F}">
  <sheetPr codeName="Sheet43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"Gap Between "&amp;TEXT(EOMONTH(BeginDate,12),"mmm yyy")&amp;" and "&amp;TEXT(EOMONTH(BeginDate,13),"mmm yyy")</f>
        <v>Gap Between Dec 2022 and Jan 2023</v>
      </c>
      <c r="J32" s="1">
        <f>VLOOKUP(DataID,DataRange,Data!S$2,FALSE)-VLOOKUP(DataID,DataRange,Data!Q$2,FALSE)</f>
        <v>0</v>
      </c>
    </row>
    <row r="33" spans="2:14" x14ac:dyDescent="0.25">
      <c r="J33" s="61"/>
    </row>
    <row r="34" spans="2:14" x14ac:dyDescent="0.25">
      <c r="J34" s="61"/>
    </row>
    <row r="35" spans="2:14" x14ac:dyDescent="0.25">
      <c r="J35" s="61"/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131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66">
        <f>IF(ShowEnd=FALSE,"",VLOOKUP(DataID,DataRange,Data!F$2,FALSE))</f>
        <v>0</v>
      </c>
      <c r="D73" s="66">
        <f>IF(ShowEnd=FALSE,"",VLOOKUP(DataID,DataRange,Data!G$2,FALSE))</f>
        <v>0</v>
      </c>
      <c r="E73" s="66">
        <f>IF(ShowEnd=FALSE,"",VLOOKUP(DataID,DataRange,Data!H$2,FALSE))</f>
        <v>0</v>
      </c>
      <c r="F73" s="66">
        <f>IF(ShowEnd=FALSE,"",VLOOKUP(DataID,DataRange,Data!I$2,FALSE))</f>
        <v>0</v>
      </c>
      <c r="G73" s="66">
        <f>IF(ShowEnd=FALSE,"",VLOOKUP(DataID,DataRange,Data!J$2,FALSE))</f>
        <v>0</v>
      </c>
      <c r="H73" s="66">
        <f>IF(ShowEnd=FALSE,"",VLOOKUP(DataID,DataRange,Data!K$2,FALSE))</f>
        <v>0</v>
      </c>
      <c r="I73" s="66">
        <f>IF(ShowEnd=FALSE,"",VLOOKUP(DataID,DataRange,Data!L$2,FALSE))</f>
        <v>0</v>
      </c>
      <c r="J73" s="66">
        <f>IF(ShowEnd=FALSE,"",VLOOKUP(DataID,DataRange,Data!M$2,FALSE))</f>
        <v>0</v>
      </c>
      <c r="K73" s="66">
        <f>IF(ShowEnd=FALSE,"",VLOOKUP(DataID,DataRange,Data!N$2,FALSE))</f>
        <v>0</v>
      </c>
      <c r="L73" s="66">
        <f>IF(ShowEnd=FALSE,"",VLOOKUP(DataID,DataRange,Data!O$2,FALSE))</f>
        <v>0</v>
      </c>
      <c r="M73" s="66">
        <f>IF(ShowEnd=FALSE,"",VLOOKUP(DataID,DataRange,Data!P$2,FALSE))</f>
        <v>0</v>
      </c>
      <c r="N73" s="66">
        <f>IF(ShowEnd=FALSE,"",VLOOKUP(DataID,DataRange,Data!Q$2,FALSE))</f>
        <v>0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x14ac:dyDescent="0.25">
      <c r="B74" s="27" t="s">
        <v>53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>
        <f>IF(ShowEnd=FALSE,"",VLOOKUP(DataID,DataRange,Data!S$2,FALSE))</f>
        <v>0</v>
      </c>
      <c r="P74" s="66">
        <f>IF(ShowEnd=FALSE,"",VLOOKUP(DataID,DataRange,Data!T$2,FALSE))</f>
        <v>0</v>
      </c>
      <c r="Q74" s="66">
        <f>IF(ShowEnd=FALSE,"",VLOOKUP(DataID,DataRange,Data!U$2,FALSE))</f>
        <v>0</v>
      </c>
      <c r="R74" s="66">
        <f>IF(ShowEnd=FALSE,"",VLOOKUP(DataID,DataRange,Data!V$2,FALSE))</f>
        <v>0</v>
      </c>
      <c r="S74" s="66">
        <f>IF(ShowEnd=FALSE,"",VLOOKUP(DataID,DataRange,Data!W$2,FALSE))</f>
        <v>0</v>
      </c>
      <c r="T74" s="66">
        <f>IF(ShowEnd=FALSE,"",VLOOKUP(DataID,DataRange,Data!X$2,FALSE))</f>
        <v>0</v>
      </c>
      <c r="U74" s="66">
        <f>IF(ShowEnd=FALSE,"",VLOOKUP(DataID,DataRange,Data!Y$2,FALSE))</f>
        <v>0</v>
      </c>
      <c r="V74" s="66">
        <f>IF(ShowEnd=FALSE,"",VLOOKUP(DataID,DataRange,Data!Z$2,FALSE))</f>
        <v>0</v>
      </c>
      <c r="W74" s="66">
        <f>IF(ShowEnd=FALSE,"",VLOOKUP(DataID,DataRange,Data!AA$2,FALSE))</f>
        <v>0</v>
      </c>
      <c r="X74" s="66">
        <f>IF(ShowEnd=FALSE,"",VLOOKUP(DataID,DataRange,Data!AB$2,FALSE))</f>
        <v>0</v>
      </c>
      <c r="Y74" s="66">
        <f>IF(ShowEnd=FALSE,"",VLOOKUP(DataID,DataRange,Data!AC$2,FALSE))</f>
        <v>0</v>
      </c>
      <c r="Z74" s="66">
        <f>IF(ShowEnd=FALSE,"",VLOOKUP(DataID,DataRange,Data!AD$2,FALSE))</f>
        <v>0</v>
      </c>
    </row>
    <row r="75" spans="2:26" x14ac:dyDescent="0.25">
      <c r="B75" s="2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x14ac:dyDescent="0.25">
      <c r="B76" s="2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8" spans="2:26" x14ac:dyDescent="0.25">
      <c r="B78" t="str">
        <f>VLOOKUP(DataID,DataRange,Data!$C$2,FALSE)</f>
        <v>Loans as Percent of Assets</v>
      </c>
    </row>
    <row r="81" spans="2:6" x14ac:dyDescent="0.25">
      <c r="B81" t="str">
        <f>IF(ShowAvg=FALSE,_xlfn.CONCAT(B78,B79),_xlfn.CONCAT(B78,B79,B80))</f>
        <v>Loans as Percent of Assets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825" r:id="rId4" name="Button 1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" r:id="rId5" name="Button 2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56A8-580A-4DD2-8C33-1BD80587BD3C}">
  <sheetPr codeName="Sheet44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"Gap Between "&amp;TEXT(EOMONTH(BeginDate,12),"mmm yyy")&amp;" and "&amp;TEXT(EOMONTH(BeginDate,13),"mmm yyy")</f>
        <v>Gap Between Dec 2022 and Jan 2023</v>
      </c>
      <c r="J32" s="1">
        <f>VLOOKUP(DataID,DataRange,Data!S$2,FALSE)-VLOOKUP(DataID,DataRange,Data!Q$2,FALSE)</f>
        <v>0</v>
      </c>
    </row>
    <row r="33" spans="2:14" x14ac:dyDescent="0.25">
      <c r="J33" s="61"/>
    </row>
    <row r="34" spans="2:14" x14ac:dyDescent="0.25">
      <c r="J34" s="61"/>
    </row>
    <row r="35" spans="2:14" x14ac:dyDescent="0.25">
      <c r="J35" s="61"/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132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66">
        <f>IF(ShowEnd=FALSE,"",VLOOKUP(DataID,DataRange,Data!F$2,FALSE))</f>
        <v>0</v>
      </c>
      <c r="D73" s="66">
        <f>IF(ShowEnd=FALSE,"",VLOOKUP(DataID,DataRange,Data!G$2,FALSE))</f>
        <v>0</v>
      </c>
      <c r="E73" s="66">
        <f>IF(ShowEnd=FALSE,"",VLOOKUP(DataID,DataRange,Data!H$2,FALSE))</f>
        <v>0</v>
      </c>
      <c r="F73" s="66">
        <f>IF(ShowEnd=FALSE,"",VLOOKUP(DataID,DataRange,Data!I$2,FALSE))</f>
        <v>0</v>
      </c>
      <c r="G73" s="66">
        <f>IF(ShowEnd=FALSE,"",VLOOKUP(DataID,DataRange,Data!J$2,FALSE))</f>
        <v>0</v>
      </c>
      <c r="H73" s="66">
        <f>IF(ShowEnd=FALSE,"",VLOOKUP(DataID,DataRange,Data!K$2,FALSE))</f>
        <v>0</v>
      </c>
      <c r="I73" s="66">
        <f>IF(ShowEnd=FALSE,"",VLOOKUP(DataID,DataRange,Data!L$2,FALSE))</f>
        <v>0</v>
      </c>
      <c r="J73" s="66">
        <f>IF(ShowEnd=FALSE,"",VLOOKUP(DataID,DataRange,Data!M$2,FALSE))</f>
        <v>0</v>
      </c>
      <c r="K73" s="66">
        <f>IF(ShowEnd=FALSE,"",VLOOKUP(DataID,DataRange,Data!N$2,FALSE))</f>
        <v>0</v>
      </c>
      <c r="L73" s="66">
        <f>IF(ShowEnd=FALSE,"",VLOOKUP(DataID,DataRange,Data!O$2,FALSE))</f>
        <v>0</v>
      </c>
      <c r="M73" s="66">
        <f>IF(ShowEnd=FALSE,"",VLOOKUP(DataID,DataRange,Data!P$2,FALSE))</f>
        <v>0</v>
      </c>
      <c r="N73" s="66">
        <f>IF(ShowEnd=FALSE,"",VLOOKUP(DataID,DataRange,Data!Q$2,FALSE))</f>
        <v>0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x14ac:dyDescent="0.25">
      <c r="B74" s="27" t="s">
        <v>53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>
        <f>IF(ShowEnd=FALSE,"",VLOOKUP(DataID,DataRange,Data!S$2,FALSE))</f>
        <v>0</v>
      </c>
      <c r="P74" s="66">
        <f>IF(ShowEnd=FALSE,"",VLOOKUP(DataID,DataRange,Data!T$2,FALSE))</f>
        <v>0</v>
      </c>
      <c r="Q74" s="66">
        <f>IF(ShowEnd=FALSE,"",VLOOKUP(DataID,DataRange,Data!U$2,FALSE))</f>
        <v>0</v>
      </c>
      <c r="R74" s="66">
        <f>IF(ShowEnd=FALSE,"",VLOOKUP(DataID,DataRange,Data!V$2,FALSE))</f>
        <v>0</v>
      </c>
      <c r="S74" s="66">
        <f>IF(ShowEnd=FALSE,"",VLOOKUP(DataID,DataRange,Data!W$2,FALSE))</f>
        <v>0</v>
      </c>
      <c r="T74" s="66">
        <f>IF(ShowEnd=FALSE,"",VLOOKUP(DataID,DataRange,Data!X$2,FALSE))</f>
        <v>0</v>
      </c>
      <c r="U74" s="66">
        <f>IF(ShowEnd=FALSE,"",VLOOKUP(DataID,DataRange,Data!Y$2,FALSE))</f>
        <v>0</v>
      </c>
      <c r="V74" s="66">
        <f>IF(ShowEnd=FALSE,"",VLOOKUP(DataID,DataRange,Data!Z$2,FALSE))</f>
        <v>0</v>
      </c>
      <c r="W74" s="66">
        <f>IF(ShowEnd=FALSE,"",VLOOKUP(DataID,DataRange,Data!AA$2,FALSE))</f>
        <v>0</v>
      </c>
      <c r="X74" s="66">
        <f>IF(ShowEnd=FALSE,"",VLOOKUP(DataID,DataRange,Data!AB$2,FALSE))</f>
        <v>0</v>
      </c>
      <c r="Y74" s="66">
        <f>IF(ShowEnd=FALSE,"",VLOOKUP(DataID,DataRange,Data!AC$2,FALSE))</f>
        <v>0</v>
      </c>
      <c r="Z74" s="66">
        <f>IF(ShowEnd=FALSE,"",VLOOKUP(DataID,DataRange,Data!AD$2,FALSE))</f>
        <v>0</v>
      </c>
    </row>
    <row r="75" spans="2:26" x14ac:dyDescent="0.25">
      <c r="B75" s="2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x14ac:dyDescent="0.25">
      <c r="B76" s="2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8" spans="2:26" x14ac:dyDescent="0.25">
      <c r="B78" t="str">
        <f>VLOOKUP(DataID,DataRange,Data!$C$2,FALSE)</f>
        <v>Relationship Deposits as Percent of Assets</v>
      </c>
    </row>
    <row r="81" spans="2:6" x14ac:dyDescent="0.25">
      <c r="B81" t="str">
        <f>IF(ShowAvg=FALSE,_xlfn.CONCAT(B78,B79),_xlfn.CONCAT(B78,B79,B80))</f>
        <v>Relationship Deposits as Percent of Assets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Button 1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5" name="Button 2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2DA80-C100-4F5D-966C-AF3EECD58E01}">
  <sheetPr codeName="Sheet45">
    <pageSetUpPr fitToPage="1"/>
  </sheetPr>
  <dimension ref="B32:Z87"/>
  <sheetViews>
    <sheetView showGridLines="0" zoomScaleNormal="100" workbookViewId="0"/>
  </sheetViews>
  <sheetFormatPr defaultRowHeight="15" x14ac:dyDescent="0.25"/>
  <cols>
    <col min="1" max="1" width="1.7109375" customWidth="1"/>
    <col min="8" max="8" width="9.140625" customWidth="1"/>
  </cols>
  <sheetData>
    <row r="32" spans="4:10" x14ac:dyDescent="0.25">
      <c r="D32" t="str">
        <f>"Gap Between "&amp;TEXT(EOMONTH(BeginDate,12),"mmm yyy")&amp;" and "&amp;TEXT(EOMONTH(BeginDate,13),"mmm yyy")</f>
        <v>Gap Between Dec 2022 and Jan 2023</v>
      </c>
      <c r="J32" s="1">
        <f>VLOOKUP(DataID,DataRange,Data!S$2,FALSE)-VLOOKUP(DataID,DataRange,Data!Q$2,FALSE)</f>
        <v>0</v>
      </c>
    </row>
    <row r="33" spans="2:14" x14ac:dyDescent="0.25">
      <c r="D33" t="str">
        <f>"Average Ratio in "&amp;TEXT(EOMONTH(BeginDate,12),"yyy")</f>
        <v>Average Ratio in 2022</v>
      </c>
      <c r="J33" s="56">
        <f>VLOOKUP(DataID,DataRange,Data!$AF$2,FALSE)</f>
        <v>0</v>
      </c>
    </row>
    <row r="34" spans="2:14" x14ac:dyDescent="0.25">
      <c r="D34" t="str">
        <f>"Budget Ratio in "&amp;TEXT(EOMONTH(BeginDate,24),"yyy")</f>
        <v>Budget Ratio in 2023</v>
      </c>
      <c r="J34" s="56">
        <f>VLOOKUP(DataID,DataRange,Data!$AG$2,FALSE)</f>
        <v>0</v>
      </c>
    </row>
    <row r="35" spans="2:14" x14ac:dyDescent="0.25">
      <c r="J35" s="61"/>
    </row>
    <row r="37" spans="2:14" x14ac:dyDescent="0.25">
      <c r="B37" s="10" t="s">
        <v>51</v>
      </c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72" spans="2:26" x14ac:dyDescent="0.25">
      <c r="B72" s="53" t="s">
        <v>133</v>
      </c>
      <c r="C72" s="42">
        <f>EOMONTH(BeginDate,1)</f>
        <v>44592</v>
      </c>
      <c r="D72" s="42">
        <f t="shared" ref="D72:Z72" si="0">EOMONTH(C72,1)</f>
        <v>44620</v>
      </c>
      <c r="E72" s="42">
        <f t="shared" si="0"/>
        <v>44651</v>
      </c>
      <c r="F72" s="42">
        <f t="shared" si="0"/>
        <v>44681</v>
      </c>
      <c r="G72" s="42">
        <f t="shared" si="0"/>
        <v>44712</v>
      </c>
      <c r="H72" s="42">
        <f t="shared" si="0"/>
        <v>44742</v>
      </c>
      <c r="I72" s="42">
        <f t="shared" si="0"/>
        <v>44773</v>
      </c>
      <c r="J72" s="42">
        <f t="shared" si="0"/>
        <v>44804</v>
      </c>
      <c r="K72" s="42">
        <f t="shared" si="0"/>
        <v>44834</v>
      </c>
      <c r="L72" s="42">
        <f t="shared" si="0"/>
        <v>44865</v>
      </c>
      <c r="M72" s="42">
        <f t="shared" si="0"/>
        <v>44895</v>
      </c>
      <c r="N72" s="42">
        <f t="shared" si="0"/>
        <v>44926</v>
      </c>
      <c r="O72" s="42">
        <f t="shared" si="0"/>
        <v>44957</v>
      </c>
      <c r="P72" s="42">
        <f t="shared" si="0"/>
        <v>44985</v>
      </c>
      <c r="Q72" s="42">
        <f t="shared" si="0"/>
        <v>45016</v>
      </c>
      <c r="R72" s="42">
        <f t="shared" si="0"/>
        <v>45046</v>
      </c>
      <c r="S72" s="42">
        <f t="shared" si="0"/>
        <v>45077</v>
      </c>
      <c r="T72" s="42">
        <f t="shared" si="0"/>
        <v>45107</v>
      </c>
      <c r="U72" s="42">
        <f t="shared" si="0"/>
        <v>45138</v>
      </c>
      <c r="V72" s="42">
        <f t="shared" si="0"/>
        <v>45169</v>
      </c>
      <c r="W72" s="42">
        <f t="shared" si="0"/>
        <v>45199</v>
      </c>
      <c r="X72" s="42">
        <f t="shared" si="0"/>
        <v>45230</v>
      </c>
      <c r="Y72" s="42">
        <f t="shared" si="0"/>
        <v>45260</v>
      </c>
      <c r="Z72" s="42">
        <f t="shared" si="0"/>
        <v>45291</v>
      </c>
    </row>
    <row r="73" spans="2:26" x14ac:dyDescent="0.25">
      <c r="B73" s="27" t="s">
        <v>52</v>
      </c>
      <c r="C73" s="66">
        <f>IF(ShowEnd=FALSE,"",VLOOKUP(DataID,DataRange,Data!F$2,FALSE))</f>
        <v>0</v>
      </c>
      <c r="D73" s="66">
        <f>IF(ShowEnd=FALSE,"",VLOOKUP(DataID,DataRange,Data!G$2,FALSE))</f>
        <v>0</v>
      </c>
      <c r="E73" s="66">
        <f>IF(ShowEnd=FALSE,"",VLOOKUP(DataID,DataRange,Data!H$2,FALSE))</f>
        <v>0</v>
      </c>
      <c r="F73" s="66">
        <f>IF(ShowEnd=FALSE,"",VLOOKUP(DataID,DataRange,Data!I$2,FALSE))</f>
        <v>0</v>
      </c>
      <c r="G73" s="66">
        <f>IF(ShowEnd=FALSE,"",VLOOKUP(DataID,DataRange,Data!J$2,FALSE))</f>
        <v>0</v>
      </c>
      <c r="H73" s="66">
        <f>IF(ShowEnd=FALSE,"",VLOOKUP(DataID,DataRange,Data!K$2,FALSE))</f>
        <v>0</v>
      </c>
      <c r="I73" s="66">
        <f>IF(ShowEnd=FALSE,"",VLOOKUP(DataID,DataRange,Data!L$2,FALSE))</f>
        <v>0</v>
      </c>
      <c r="J73" s="66">
        <f>IF(ShowEnd=FALSE,"",VLOOKUP(DataID,DataRange,Data!M$2,FALSE))</f>
        <v>0</v>
      </c>
      <c r="K73" s="66">
        <f>IF(ShowEnd=FALSE,"",VLOOKUP(DataID,DataRange,Data!N$2,FALSE))</f>
        <v>0</v>
      </c>
      <c r="L73" s="66">
        <f>IF(ShowEnd=FALSE,"",VLOOKUP(DataID,DataRange,Data!O$2,FALSE))</f>
        <v>0</v>
      </c>
      <c r="M73" s="66">
        <f>IF(ShowEnd=FALSE,"",VLOOKUP(DataID,DataRange,Data!P$2,FALSE))</f>
        <v>0</v>
      </c>
      <c r="N73" s="66">
        <f>IF(ShowEnd=FALSE,"",VLOOKUP(DataID,DataRange,Data!Q$2,FALSE))</f>
        <v>0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x14ac:dyDescent="0.25">
      <c r="B74" s="27" t="s">
        <v>53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>
        <f>IF(ShowEnd=FALSE,"",VLOOKUP(DataID,DataRange,Data!S$2,FALSE))</f>
        <v>0</v>
      </c>
      <c r="P74" s="66">
        <f>IF(ShowEnd=FALSE,"",VLOOKUP(DataID,DataRange,Data!T$2,FALSE))</f>
        <v>0</v>
      </c>
      <c r="Q74" s="66">
        <f>IF(ShowEnd=FALSE,"",VLOOKUP(DataID,DataRange,Data!U$2,FALSE))</f>
        <v>0</v>
      </c>
      <c r="R74" s="66">
        <f>IF(ShowEnd=FALSE,"",VLOOKUP(DataID,DataRange,Data!V$2,FALSE))</f>
        <v>0</v>
      </c>
      <c r="S74" s="66">
        <f>IF(ShowEnd=FALSE,"",VLOOKUP(DataID,DataRange,Data!W$2,FALSE))</f>
        <v>0</v>
      </c>
      <c r="T74" s="66">
        <f>IF(ShowEnd=FALSE,"",VLOOKUP(DataID,DataRange,Data!X$2,FALSE))</f>
        <v>0</v>
      </c>
      <c r="U74" s="66">
        <f>IF(ShowEnd=FALSE,"",VLOOKUP(DataID,DataRange,Data!Y$2,FALSE))</f>
        <v>0</v>
      </c>
      <c r="V74" s="66">
        <f>IF(ShowEnd=FALSE,"",VLOOKUP(DataID,DataRange,Data!Z$2,FALSE))</f>
        <v>0</v>
      </c>
      <c r="W74" s="66">
        <f>IF(ShowEnd=FALSE,"",VLOOKUP(DataID,DataRange,Data!AA$2,FALSE))</f>
        <v>0</v>
      </c>
      <c r="X74" s="66">
        <f>IF(ShowEnd=FALSE,"",VLOOKUP(DataID,DataRange,Data!AB$2,FALSE))</f>
        <v>0</v>
      </c>
      <c r="Y74" s="66">
        <f>IF(ShowEnd=FALSE,"",VLOOKUP(DataID,DataRange,Data!AC$2,FALSE))</f>
        <v>0</v>
      </c>
      <c r="Z74" s="66">
        <f>IF(ShowEnd=FALSE,"",VLOOKUP(DataID,DataRange,Data!AD$2,FALSE))</f>
        <v>0</v>
      </c>
    </row>
    <row r="75" spans="2:26" x14ac:dyDescent="0.25">
      <c r="B75" s="27" t="s">
        <v>54</v>
      </c>
      <c r="C75" s="66">
        <f>IF(ShowAvg=FALSE,"",VLOOKUP(DataID,DataRange,Data!AF$2,FALSE))</f>
        <v>0</v>
      </c>
      <c r="D75" s="66">
        <f t="shared" ref="D75:N75" si="1">C75</f>
        <v>0</v>
      </c>
      <c r="E75" s="66">
        <f t="shared" si="1"/>
        <v>0</v>
      </c>
      <c r="F75" s="66">
        <f t="shared" si="1"/>
        <v>0</v>
      </c>
      <c r="G75" s="66">
        <f t="shared" si="1"/>
        <v>0</v>
      </c>
      <c r="H75" s="66">
        <f t="shared" si="1"/>
        <v>0</v>
      </c>
      <c r="I75" s="66">
        <f t="shared" si="1"/>
        <v>0</v>
      </c>
      <c r="J75" s="66">
        <f t="shared" si="1"/>
        <v>0</v>
      </c>
      <c r="K75" s="66">
        <f t="shared" si="1"/>
        <v>0</v>
      </c>
      <c r="L75" s="66">
        <f t="shared" si="1"/>
        <v>0</v>
      </c>
      <c r="M75" s="66">
        <f t="shared" si="1"/>
        <v>0</v>
      </c>
      <c r="N75" s="66">
        <f t="shared" si="1"/>
        <v>0</v>
      </c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x14ac:dyDescent="0.25">
      <c r="B76" s="27" t="s">
        <v>55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>
        <f>IF(ShowAvg=FALSE,"",VLOOKUP(DataID,DataRange,Data!AG$2,FALSE))</f>
        <v>0</v>
      </c>
      <c r="P76" s="66">
        <f>O76</f>
        <v>0</v>
      </c>
      <c r="Q76" s="66">
        <f t="shared" ref="Q76:Z76" si="2">P76</f>
        <v>0</v>
      </c>
      <c r="R76" s="66">
        <f t="shared" si="2"/>
        <v>0</v>
      </c>
      <c r="S76" s="66">
        <f t="shared" si="2"/>
        <v>0</v>
      </c>
      <c r="T76" s="66">
        <f t="shared" si="2"/>
        <v>0</v>
      </c>
      <c r="U76" s="66">
        <f t="shared" si="2"/>
        <v>0</v>
      </c>
      <c r="V76" s="66">
        <f t="shared" si="2"/>
        <v>0</v>
      </c>
      <c r="W76" s="66">
        <f t="shared" si="2"/>
        <v>0</v>
      </c>
      <c r="X76" s="66">
        <f t="shared" si="2"/>
        <v>0</v>
      </c>
      <c r="Y76" s="66">
        <f t="shared" si="2"/>
        <v>0</v>
      </c>
      <c r="Z76" s="66">
        <f t="shared" si="2"/>
        <v>0</v>
      </c>
    </row>
    <row r="78" spans="2:26" x14ac:dyDescent="0.25">
      <c r="B78" t="str">
        <f>VLOOKUP(DataID,DataRange,Data!$C$2,FALSE)</f>
        <v>YTD Non-Int Inc as Percent of Non-Int Exp</v>
      </c>
    </row>
    <row r="80" spans="2:26" x14ac:dyDescent="0.25">
      <c r="B80" t="s">
        <v>101</v>
      </c>
    </row>
    <row r="81" spans="2:6" x14ac:dyDescent="0.25">
      <c r="B81" t="str">
        <f>IF(ShowAvg=FALSE,_xlfn.CONCAT(B78,B79),_xlfn.CONCAT(B78,B79,B80))</f>
        <v>YTD Non-Int Inc as Percent of Non-Int Exp; Shaded Area = Annual Average</v>
      </c>
    </row>
    <row r="83" spans="2:6" x14ac:dyDescent="0.25">
      <c r="B83" s="32" t="b">
        <v>1</v>
      </c>
      <c r="C83" t="s">
        <v>87</v>
      </c>
    </row>
    <row r="84" spans="2:6" x14ac:dyDescent="0.25">
      <c r="B84" s="32" t="b">
        <v>1</v>
      </c>
      <c r="C84" t="s">
        <v>88</v>
      </c>
    </row>
    <row r="86" spans="2:6" x14ac:dyDescent="0.25">
      <c r="B86" s="60">
        <f>MIN(C73:Z76)</f>
        <v>0</v>
      </c>
      <c r="C86" s="58">
        <v>0.9</v>
      </c>
      <c r="D86" s="53">
        <v>-3</v>
      </c>
      <c r="E86" s="60">
        <f>ROUNDDOWN(B86*C86,-D86)</f>
        <v>0</v>
      </c>
      <c r="F86" t="s">
        <v>90</v>
      </c>
    </row>
    <row r="87" spans="2:6" x14ac:dyDescent="0.25">
      <c r="B87" s="60">
        <f>MAX(C73:Z76)</f>
        <v>0</v>
      </c>
      <c r="C87" s="58">
        <v>1.1000000000000001</v>
      </c>
      <c r="D87" s="53">
        <v>-3</v>
      </c>
      <c r="E87" s="60">
        <f>ROUNDUP(B87*C87,-D87)</f>
        <v>0</v>
      </c>
      <c r="F87" t="s">
        <v>91</v>
      </c>
    </row>
  </sheetData>
  <printOptions horizontalCentered="1"/>
  <pageMargins left="0.5" right="0.5" top="0.5" bottom="0.5" header="0.3" footer="0.3"/>
  <pageSetup scale="9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11</xdr:col>
                    <xdr:colOff>447675</xdr:colOff>
                    <xdr:row>0</xdr:row>
                    <xdr:rowOff>57150</xdr:rowOff>
                  </from>
                  <to>
                    <xdr:col>14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8</xdr:col>
                    <xdr:colOff>504825</xdr:colOff>
                    <xdr:row>0</xdr:row>
                    <xdr:rowOff>57150</xdr:rowOff>
                  </from>
                  <to>
                    <xdr:col>11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9" r:id="rId6" name="Button 3">
              <controlPr defaultSize="0" print="0" autoFill="0" autoPict="0" macro="[0]!ScaleChart">
                <anchor moveWithCells="1">
                  <from>
                    <xdr:col>6</xdr:col>
                    <xdr:colOff>514350</xdr:colOff>
                    <xdr:row>0</xdr:row>
                    <xdr:rowOff>57150</xdr:rowOff>
                  </from>
                  <to>
                    <xdr:col>8</xdr:col>
                    <xdr:colOff>200025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0" r:id="rId7" name="Button 4">
              <controlPr defaultSize="0" print="0" autoFill="0" autoPict="0" macro="[0]!NavigateHome">
                <anchor moveWithCells="1">
                  <from>
                    <xdr:col>1</xdr:col>
                    <xdr:colOff>38100</xdr:colOff>
                    <xdr:row>0</xdr:row>
                    <xdr:rowOff>57150</xdr:rowOff>
                  </from>
                  <to>
                    <xdr:col>2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142</vt:i4>
      </vt:variant>
    </vt:vector>
  </HeadingPairs>
  <TitlesOfParts>
    <vt:vector size="168" baseType="lpstr">
      <vt:lpstr>Home</vt:lpstr>
      <vt:lpstr>Data</vt:lpstr>
      <vt:lpstr>RateVol</vt:lpstr>
      <vt:lpstr>LnBal</vt:lpstr>
      <vt:lpstr>RelBal</vt:lpstr>
      <vt:lpstr>RSBal</vt:lpstr>
      <vt:lpstr>LnPct</vt:lpstr>
      <vt:lpstr>RelPct</vt:lpstr>
      <vt:lpstr>NIINIE</vt:lpstr>
      <vt:lpstr>LnYld</vt:lpstr>
      <vt:lpstr>SFYld</vt:lpstr>
      <vt:lpstr>RelCost</vt:lpstr>
      <vt:lpstr>RSCost</vt:lpstr>
      <vt:lpstr>NIM</vt:lpstr>
      <vt:lpstr>NII</vt:lpstr>
      <vt:lpstr>NIE</vt:lpstr>
      <vt:lpstr>Effic</vt:lpstr>
      <vt:lpstr>EOS</vt:lpstr>
      <vt:lpstr>NCO</vt:lpstr>
      <vt:lpstr>PLLExp</vt:lpstr>
      <vt:lpstr>LLRPct</vt:lpstr>
      <vt:lpstr>TSR</vt:lpstr>
      <vt:lpstr>EqAssets</vt:lpstr>
      <vt:lpstr>NetInc</vt:lpstr>
      <vt:lpstr>ROA</vt:lpstr>
      <vt:lpstr>RateVolData</vt:lpstr>
      <vt:lpstr>BeginDate</vt:lpstr>
      <vt:lpstr>Effic!ChartMax</vt:lpstr>
      <vt:lpstr>EOS!ChartMax</vt:lpstr>
      <vt:lpstr>EqAssets!ChartMax</vt:lpstr>
      <vt:lpstr>LLRPct!ChartMax</vt:lpstr>
      <vt:lpstr>LnBal!ChartMax</vt:lpstr>
      <vt:lpstr>LnPct!ChartMax</vt:lpstr>
      <vt:lpstr>LnYld!ChartMax</vt:lpstr>
      <vt:lpstr>NCO!ChartMax</vt:lpstr>
      <vt:lpstr>NetInc!ChartMax</vt:lpstr>
      <vt:lpstr>NIE!ChartMax</vt:lpstr>
      <vt:lpstr>NII!ChartMax</vt:lpstr>
      <vt:lpstr>NIINIE!ChartMax</vt:lpstr>
      <vt:lpstr>NIM!ChartMax</vt:lpstr>
      <vt:lpstr>PLLExp!ChartMax</vt:lpstr>
      <vt:lpstr>RelBal!ChartMax</vt:lpstr>
      <vt:lpstr>RelCost!ChartMax</vt:lpstr>
      <vt:lpstr>RelPct!ChartMax</vt:lpstr>
      <vt:lpstr>ROA!ChartMax</vt:lpstr>
      <vt:lpstr>RSBal!ChartMax</vt:lpstr>
      <vt:lpstr>RSCost!ChartMax</vt:lpstr>
      <vt:lpstr>SFYld!ChartMax</vt:lpstr>
      <vt:lpstr>TSR!ChartMax</vt:lpstr>
      <vt:lpstr>Effic!ChartMin</vt:lpstr>
      <vt:lpstr>EOS!ChartMin</vt:lpstr>
      <vt:lpstr>EqAssets!ChartMin</vt:lpstr>
      <vt:lpstr>LLRPct!ChartMin</vt:lpstr>
      <vt:lpstr>LnBal!ChartMin</vt:lpstr>
      <vt:lpstr>LnPct!ChartMin</vt:lpstr>
      <vt:lpstr>LnYld!ChartMin</vt:lpstr>
      <vt:lpstr>NCO!ChartMin</vt:lpstr>
      <vt:lpstr>NetInc!ChartMin</vt:lpstr>
      <vt:lpstr>NIE!ChartMin</vt:lpstr>
      <vt:lpstr>NII!ChartMin</vt:lpstr>
      <vt:lpstr>NIINIE!ChartMin</vt:lpstr>
      <vt:lpstr>NIM!ChartMin</vt:lpstr>
      <vt:lpstr>PLLExp!ChartMin</vt:lpstr>
      <vt:lpstr>RelBal!ChartMin</vt:lpstr>
      <vt:lpstr>RelCost!ChartMin</vt:lpstr>
      <vt:lpstr>RelPct!ChartMin</vt:lpstr>
      <vt:lpstr>ROA!ChartMin</vt:lpstr>
      <vt:lpstr>RSBal!ChartMin</vt:lpstr>
      <vt:lpstr>RSCost!ChartMin</vt:lpstr>
      <vt:lpstr>SFYld!ChartMin</vt:lpstr>
      <vt:lpstr>TSR!ChartMin</vt:lpstr>
      <vt:lpstr>Effic!DataID</vt:lpstr>
      <vt:lpstr>EOS!DataID</vt:lpstr>
      <vt:lpstr>EqAssets!DataID</vt:lpstr>
      <vt:lpstr>LLRPct!DataID</vt:lpstr>
      <vt:lpstr>LnBal!DataID</vt:lpstr>
      <vt:lpstr>LnPct!DataID</vt:lpstr>
      <vt:lpstr>LnYld!DataID</vt:lpstr>
      <vt:lpstr>NCO!DataID</vt:lpstr>
      <vt:lpstr>NetInc!DataID</vt:lpstr>
      <vt:lpstr>NIE!DataID</vt:lpstr>
      <vt:lpstr>NII!DataID</vt:lpstr>
      <vt:lpstr>NIINIE!DataID</vt:lpstr>
      <vt:lpstr>NIM!DataID</vt:lpstr>
      <vt:lpstr>PLLExp!DataID</vt:lpstr>
      <vt:lpstr>RelBal!DataID</vt:lpstr>
      <vt:lpstr>RelCost!DataID</vt:lpstr>
      <vt:lpstr>RelPct!DataID</vt:lpstr>
      <vt:lpstr>ROA!DataID</vt:lpstr>
      <vt:lpstr>RSBal!DataID</vt:lpstr>
      <vt:lpstr>RSCost!DataID</vt:lpstr>
      <vt:lpstr>SFYld!DataID</vt:lpstr>
      <vt:lpstr>TSR!DataID</vt:lpstr>
      <vt:lpstr>DataRange</vt:lpstr>
      <vt:lpstr>RateVol!DetailRows</vt:lpstr>
      <vt:lpstr>Data!Print_Area</vt:lpstr>
      <vt:lpstr>Effic!Print_Area</vt:lpstr>
      <vt:lpstr>EOS!Print_Area</vt:lpstr>
      <vt:lpstr>EqAssets!Print_Area</vt:lpstr>
      <vt:lpstr>LLRPct!Print_Area</vt:lpstr>
      <vt:lpstr>LnBal!Print_Area</vt:lpstr>
      <vt:lpstr>LnPct!Print_Area</vt:lpstr>
      <vt:lpstr>LnYld!Print_Area</vt:lpstr>
      <vt:lpstr>NCO!Print_Area</vt:lpstr>
      <vt:lpstr>NetInc!Print_Area</vt:lpstr>
      <vt:lpstr>NIE!Print_Area</vt:lpstr>
      <vt:lpstr>NII!Print_Area</vt:lpstr>
      <vt:lpstr>NIINIE!Print_Area</vt:lpstr>
      <vt:lpstr>NIM!Print_Area</vt:lpstr>
      <vt:lpstr>PLLExp!Print_Area</vt:lpstr>
      <vt:lpstr>RateVol!Print_Area</vt:lpstr>
      <vt:lpstr>RateVolData!Print_Area</vt:lpstr>
      <vt:lpstr>RelBal!Print_Area</vt:lpstr>
      <vt:lpstr>RelCost!Print_Area</vt:lpstr>
      <vt:lpstr>RelPct!Print_Area</vt:lpstr>
      <vt:lpstr>ROA!Print_Area</vt:lpstr>
      <vt:lpstr>RSBal!Print_Area</vt:lpstr>
      <vt:lpstr>RSCost!Print_Area</vt:lpstr>
      <vt:lpstr>SFYld!Print_Area</vt:lpstr>
      <vt:lpstr>TSR!Print_Area</vt:lpstr>
      <vt:lpstr>Data!Print_Titles</vt:lpstr>
      <vt:lpstr>RateVol!Print_Titles</vt:lpstr>
      <vt:lpstr>Effic!ShowAvg</vt:lpstr>
      <vt:lpstr>EOS!ShowAvg</vt:lpstr>
      <vt:lpstr>EqAssets!ShowAvg</vt:lpstr>
      <vt:lpstr>LLRPct!ShowAvg</vt:lpstr>
      <vt:lpstr>LnBal!ShowAvg</vt:lpstr>
      <vt:lpstr>LnPct!ShowAvg</vt:lpstr>
      <vt:lpstr>LnYld!ShowAvg</vt:lpstr>
      <vt:lpstr>NCO!ShowAvg</vt:lpstr>
      <vt:lpstr>NetInc!ShowAvg</vt:lpstr>
      <vt:lpstr>NIE!ShowAvg</vt:lpstr>
      <vt:lpstr>NII!ShowAvg</vt:lpstr>
      <vt:lpstr>NIINIE!ShowAvg</vt:lpstr>
      <vt:lpstr>NIM!ShowAvg</vt:lpstr>
      <vt:lpstr>PLLExp!ShowAvg</vt:lpstr>
      <vt:lpstr>RateVol!ShowAvg</vt:lpstr>
      <vt:lpstr>RelBal!ShowAvg</vt:lpstr>
      <vt:lpstr>RelCost!ShowAvg</vt:lpstr>
      <vt:lpstr>RelPct!ShowAvg</vt:lpstr>
      <vt:lpstr>ROA!ShowAvg</vt:lpstr>
      <vt:lpstr>RSBal!ShowAvg</vt:lpstr>
      <vt:lpstr>RSCost!ShowAvg</vt:lpstr>
      <vt:lpstr>SFYld!ShowAvg</vt:lpstr>
      <vt:lpstr>TSR!ShowAvg</vt:lpstr>
      <vt:lpstr>RateVol!ShowDetail</vt:lpstr>
      <vt:lpstr>Effic!ShowEnd</vt:lpstr>
      <vt:lpstr>EOS!ShowEnd</vt:lpstr>
      <vt:lpstr>EqAssets!ShowEnd</vt:lpstr>
      <vt:lpstr>LLRPct!ShowEnd</vt:lpstr>
      <vt:lpstr>LnBal!ShowEnd</vt:lpstr>
      <vt:lpstr>LnPct!ShowEnd</vt:lpstr>
      <vt:lpstr>LnYld!ShowEnd</vt:lpstr>
      <vt:lpstr>NCO!ShowEnd</vt:lpstr>
      <vt:lpstr>NetInc!ShowEnd</vt:lpstr>
      <vt:lpstr>NIE!ShowEnd</vt:lpstr>
      <vt:lpstr>NII!ShowEnd</vt:lpstr>
      <vt:lpstr>NIINIE!ShowEnd</vt:lpstr>
      <vt:lpstr>NIM!ShowEnd</vt:lpstr>
      <vt:lpstr>PLLExp!ShowEnd</vt:lpstr>
      <vt:lpstr>RelBal!ShowEnd</vt:lpstr>
      <vt:lpstr>RelCost!ShowEnd</vt:lpstr>
      <vt:lpstr>RelPct!ShowEnd</vt:lpstr>
      <vt:lpstr>ROA!ShowEnd</vt:lpstr>
      <vt:lpstr>RSBal!ShowEnd</vt:lpstr>
      <vt:lpstr>RSCost!ShowEnd</vt:lpstr>
      <vt:lpstr>SFYld!ShowEnd</vt:lpstr>
      <vt:lpstr>TSR!ShowEnd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Precision</dc:creator>
  <cp:lastModifiedBy>Mike Precision</cp:lastModifiedBy>
  <cp:lastPrinted>2022-11-29T04:07:05Z</cp:lastPrinted>
  <dcterms:created xsi:type="dcterms:W3CDTF">2018-01-21T17:25:10Z</dcterms:created>
  <dcterms:modified xsi:type="dcterms:W3CDTF">2022-11-30T13:12:47Z</dcterms:modified>
</cp:coreProperties>
</file>